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ornl-my.sharepoint.com/personal/k21_ornl_gov/Documents/EPA Tools/DCC/QA Sheets/OLD QA Sheets/"/>
    </mc:Choice>
  </mc:AlternateContent>
  <xr:revisionPtr revIDLastSave="0" documentId="11_4DCE540351D20C9AD1BC01C8C706F1868B49BDFE" xr6:coauthVersionLast="47" xr6:coauthVersionMax="47" xr10:uidLastSave="{00000000-0000-0000-0000-000000000000}"/>
  <bookViews>
    <workbookView xWindow="-120" yWindow="-120" windowWidth="29040" windowHeight="17520" tabRatio="748" activeTab="3" xr2:uid="{00000000-000D-0000-FFFF-FFFF00000000}"/>
  </bookViews>
  <sheets>
    <sheet name="Am-241 Default" sheetId="1" r:id="rId1"/>
    <sheet name="Cs-137+D Default" sheetId="6" r:id="rId2"/>
    <sheet name="Ra-226+D Default" sheetId="8" r:id="rId3"/>
    <sheet name="Rn-222+D Default" sheetId="7" r:id="rId4"/>
    <sheet name="AM-241 SS" sheetId="9" r:id="rId5"/>
    <sheet name="Cs-137+D SS" sheetId="10" r:id="rId6"/>
    <sheet name="Ra-226+D SS" sheetId="11" r:id="rId7"/>
    <sheet name="Rn-222+D SS" sheetId="12" r:id="rId8"/>
    <sheet name="PEF" sheetId="5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7" l="1"/>
  <c r="B62" i="12"/>
  <c r="GP19" i="12"/>
  <c r="B61" i="12"/>
  <c r="GP18" i="12"/>
  <c r="GP10" i="12"/>
  <c r="GP9" i="12"/>
  <c r="GP8" i="12"/>
  <c r="GP6" i="12"/>
  <c r="GP7" i="12"/>
  <c r="B62" i="11"/>
  <c r="GP19" i="11"/>
  <c r="B61" i="11"/>
  <c r="GP18" i="11"/>
  <c r="GP10" i="11"/>
  <c r="GP9" i="11"/>
  <c r="GP8" i="11"/>
  <c r="GP6" i="11"/>
  <c r="B62" i="10"/>
  <c r="GP19" i="10"/>
  <c r="B61" i="10"/>
  <c r="GP18" i="10"/>
  <c r="GP10" i="10"/>
  <c r="GP9" i="10"/>
  <c r="GP8" i="10"/>
  <c r="GP6" i="10"/>
  <c r="GP7" i="10"/>
  <c r="GA20" i="12"/>
  <c r="GA19" i="12"/>
  <c r="GA10" i="12"/>
  <c r="GA9" i="12"/>
  <c r="GA8" i="12"/>
  <c r="GA6" i="12"/>
  <c r="GA20" i="11"/>
  <c r="GA19" i="11"/>
  <c r="GA10" i="11"/>
  <c r="GA9" i="11"/>
  <c r="GA8" i="11"/>
  <c r="GA6" i="11"/>
  <c r="GA7" i="11"/>
  <c r="GA20" i="10"/>
  <c r="GA19" i="10"/>
  <c r="GA10" i="10"/>
  <c r="GA9" i="10"/>
  <c r="GA8" i="10"/>
  <c r="GA6" i="10"/>
  <c r="FL20" i="12"/>
  <c r="FL19" i="12"/>
  <c r="FL10" i="12"/>
  <c r="FL9" i="12"/>
  <c r="FL8" i="12"/>
  <c r="FL6" i="12"/>
  <c r="FL20" i="11"/>
  <c r="FL19" i="11"/>
  <c r="FL10" i="11"/>
  <c r="FL9" i="11"/>
  <c r="FL8" i="11"/>
  <c r="FL6" i="11"/>
  <c r="FL20" i="10"/>
  <c r="FL19" i="10"/>
  <c r="FL10" i="10"/>
  <c r="FL9" i="10"/>
  <c r="FL8" i="10"/>
  <c r="FL6" i="10"/>
  <c r="GM5" i="11"/>
  <c r="GM6" i="11"/>
  <c r="GM3" i="11"/>
  <c r="GM9" i="11"/>
  <c r="GM16" i="11"/>
  <c r="EW20" i="12"/>
  <c r="EW19" i="12"/>
  <c r="EW10" i="12"/>
  <c r="EW9" i="12"/>
  <c r="EW8" i="12"/>
  <c r="EW6" i="12"/>
  <c r="EW7" i="12"/>
  <c r="EW20" i="11"/>
  <c r="EW19" i="11"/>
  <c r="EW9" i="11"/>
  <c r="EW10" i="11"/>
  <c r="EW8" i="11"/>
  <c r="EW6" i="11"/>
  <c r="EW7" i="11"/>
  <c r="EW20" i="10"/>
  <c r="EW19" i="10"/>
  <c r="EW10" i="10"/>
  <c r="EW9" i="10"/>
  <c r="EW8" i="10"/>
  <c r="EW6" i="10"/>
  <c r="EW7" i="10"/>
  <c r="EH20" i="12"/>
  <c r="EH19" i="12"/>
  <c r="EH10" i="12"/>
  <c r="EH9" i="12"/>
  <c r="EH8" i="12"/>
  <c r="EH6" i="12"/>
  <c r="EH7" i="12"/>
  <c r="DS6" i="12"/>
  <c r="DS9" i="12"/>
  <c r="DS10" i="12"/>
  <c r="DS19" i="12"/>
  <c r="DS20" i="12"/>
  <c r="DS8" i="12"/>
  <c r="EH20" i="11"/>
  <c r="EH19" i="11"/>
  <c r="EH10" i="11"/>
  <c r="EH9" i="11"/>
  <c r="EH8" i="11"/>
  <c r="EH6" i="11"/>
  <c r="EH7" i="11"/>
  <c r="EH20" i="10"/>
  <c r="EH19" i="10"/>
  <c r="EH10" i="10"/>
  <c r="EH9" i="10"/>
  <c r="EH8" i="10"/>
  <c r="EH6" i="10"/>
  <c r="EH7" i="10"/>
  <c r="DS20" i="11"/>
  <c r="DS19" i="11"/>
  <c r="DS10" i="11"/>
  <c r="DS9" i="11"/>
  <c r="DS8" i="11"/>
  <c r="DS6" i="11"/>
  <c r="DS7" i="11"/>
  <c r="DS20" i="10"/>
  <c r="DS19" i="10"/>
  <c r="DS10" i="10"/>
  <c r="DS9" i="10"/>
  <c r="DS8" i="10"/>
  <c r="DS6" i="10"/>
  <c r="DS7" i="10"/>
  <c r="DS9" i="9"/>
  <c r="B61" i="9"/>
  <c r="DS19" i="9"/>
  <c r="DS10" i="9"/>
  <c r="B62" i="9"/>
  <c r="DS20" i="9"/>
  <c r="DS8" i="9"/>
  <c r="EH9" i="9"/>
  <c r="EH19" i="9"/>
  <c r="EH10" i="9"/>
  <c r="EH20" i="9"/>
  <c r="EH8" i="9"/>
  <c r="EW9" i="9"/>
  <c r="EW19" i="9"/>
  <c r="EW10" i="9"/>
  <c r="EW20" i="9"/>
  <c r="EW8" i="9"/>
  <c r="FL9" i="9"/>
  <c r="FL19" i="9"/>
  <c r="FL10" i="9"/>
  <c r="FL20" i="9"/>
  <c r="FL8" i="9"/>
  <c r="GA9" i="9"/>
  <c r="GA19" i="9"/>
  <c r="GA10" i="9"/>
  <c r="GA20" i="9"/>
  <c r="GA8" i="9"/>
  <c r="GP9" i="9"/>
  <c r="GP18" i="9"/>
  <c r="GP10" i="9"/>
  <c r="GP19" i="9"/>
  <c r="GP8" i="9"/>
  <c r="DD23" i="12"/>
  <c r="DD22" i="12"/>
  <c r="DD13" i="12"/>
  <c r="DD12" i="12"/>
  <c r="DD11" i="12"/>
  <c r="DD10" i="12"/>
  <c r="DD9" i="12"/>
  <c r="DD8" i="12"/>
  <c r="DD6" i="12"/>
  <c r="DD7" i="12"/>
  <c r="DD23" i="11"/>
  <c r="DD22" i="11"/>
  <c r="DD12" i="11"/>
  <c r="DD13" i="11"/>
  <c r="DD11" i="11"/>
  <c r="DD10" i="11"/>
  <c r="DD9" i="11"/>
  <c r="DD8" i="11"/>
  <c r="DD6" i="11"/>
  <c r="DD7" i="11"/>
  <c r="DD23" i="10"/>
  <c r="DD22" i="10"/>
  <c r="DD13" i="10"/>
  <c r="DD12" i="10"/>
  <c r="DD11" i="10"/>
  <c r="DD10" i="10"/>
  <c r="DD9" i="10"/>
  <c r="DD8" i="10"/>
  <c r="DD6" i="10"/>
  <c r="DD12" i="9"/>
  <c r="DD22" i="9"/>
  <c r="DD13" i="9"/>
  <c r="DD23" i="9"/>
  <c r="DD11" i="9"/>
  <c r="DD9" i="9"/>
  <c r="DD10" i="9"/>
  <c r="DD8" i="9"/>
  <c r="DA52" i="12"/>
  <c r="DA51" i="12"/>
  <c r="CU50" i="12"/>
  <c r="CU49" i="12"/>
  <c r="CU29" i="12"/>
  <c r="CU30" i="12"/>
  <c r="CU26" i="12"/>
  <c r="CU44" i="12"/>
  <c r="CU43" i="12"/>
  <c r="DA34" i="12"/>
  <c r="DA33" i="12"/>
  <c r="DA32" i="12"/>
  <c r="DA31" i="12"/>
  <c r="DA30" i="12"/>
  <c r="DA29" i="12"/>
  <c r="DA28" i="12"/>
  <c r="DA27" i="12"/>
  <c r="DA24" i="12"/>
  <c r="CU28" i="12"/>
  <c r="CX27" i="12"/>
  <c r="CU27" i="12"/>
  <c r="CU25" i="12"/>
  <c r="DA26" i="12"/>
  <c r="CX26" i="12"/>
  <c r="DA25" i="12"/>
  <c r="CX19" i="12"/>
  <c r="CX18" i="12"/>
  <c r="CX21" i="12"/>
  <c r="DA7" i="12"/>
  <c r="DA14" i="12"/>
  <c r="CX13" i="12"/>
  <c r="CU13" i="12"/>
  <c r="CU12" i="12"/>
  <c r="CU11" i="12"/>
  <c r="DA12" i="12"/>
  <c r="CX12" i="12"/>
  <c r="DA11" i="12"/>
  <c r="DA10" i="12"/>
  <c r="CX11" i="12"/>
  <c r="CX10" i="12"/>
  <c r="CX20" i="12"/>
  <c r="D8" i="5"/>
  <c r="D3" i="5"/>
  <c r="B30" i="12"/>
  <c r="CU10" i="12"/>
  <c r="DA9" i="12"/>
  <c r="CU9" i="12"/>
  <c r="DA8" i="12"/>
  <c r="DA15" i="12"/>
  <c r="CU8" i="12"/>
  <c r="CX7" i="12"/>
  <c r="CU7" i="12"/>
  <c r="DA6" i="12"/>
  <c r="CX6" i="12"/>
  <c r="CX23" i="12"/>
  <c r="CU6" i="12"/>
  <c r="DA52" i="11"/>
  <c r="DA51" i="11"/>
  <c r="DA27" i="11"/>
  <c r="DA28" i="11"/>
  <c r="DA24" i="11"/>
  <c r="CU50" i="11"/>
  <c r="CU49" i="11"/>
  <c r="CU29" i="11"/>
  <c r="CU30" i="11"/>
  <c r="CU26" i="11"/>
  <c r="CU44" i="11"/>
  <c r="CU43" i="11"/>
  <c r="DA34" i="11"/>
  <c r="DA33" i="11"/>
  <c r="DA32" i="11"/>
  <c r="DA31" i="11"/>
  <c r="DA30" i="11"/>
  <c r="DA29" i="11"/>
  <c r="CU28" i="11"/>
  <c r="CX27" i="11"/>
  <c r="CU27" i="11"/>
  <c r="CU25" i="11"/>
  <c r="DA26" i="11"/>
  <c r="CX26" i="11"/>
  <c r="DA25" i="11"/>
  <c r="CX19" i="11"/>
  <c r="CX18" i="11"/>
  <c r="CX21" i="11"/>
  <c r="DA7" i="11"/>
  <c r="DA14" i="11"/>
  <c r="CX13" i="11"/>
  <c r="CU13" i="11"/>
  <c r="CU12" i="11"/>
  <c r="CU11" i="11"/>
  <c r="DA12" i="11"/>
  <c r="CX12" i="11"/>
  <c r="DA11" i="11"/>
  <c r="DA10" i="11"/>
  <c r="CX11" i="11"/>
  <c r="CX10" i="11"/>
  <c r="CX20" i="11"/>
  <c r="B30" i="11"/>
  <c r="CU10" i="11"/>
  <c r="DA9" i="11"/>
  <c r="CU9" i="11"/>
  <c r="DA8" i="11"/>
  <c r="DA15" i="11"/>
  <c r="CU8" i="11"/>
  <c r="CX7" i="11"/>
  <c r="CX6" i="11"/>
  <c r="CU7" i="11"/>
  <c r="DA6" i="11"/>
  <c r="CU6" i="11"/>
  <c r="DA52" i="10"/>
  <c r="DA51" i="10"/>
  <c r="CU50" i="10"/>
  <c r="CU49" i="10"/>
  <c r="CU44" i="10"/>
  <c r="CU43" i="10"/>
  <c r="DA34" i="10"/>
  <c r="DA33" i="10"/>
  <c r="DA32" i="10"/>
  <c r="DA31" i="10"/>
  <c r="DA30" i="10"/>
  <c r="CU30" i="10"/>
  <c r="DA29" i="10"/>
  <c r="CU29" i="10"/>
  <c r="DA28" i="10"/>
  <c r="CU28" i="10"/>
  <c r="DA27" i="10"/>
  <c r="CX27" i="10"/>
  <c r="CU27" i="10"/>
  <c r="DA26" i="10"/>
  <c r="CX26" i="10"/>
  <c r="CU26" i="10"/>
  <c r="DA25" i="10"/>
  <c r="CU25" i="10"/>
  <c r="DA24" i="10"/>
  <c r="CX19" i="10"/>
  <c r="CX18" i="10"/>
  <c r="CX21" i="10"/>
  <c r="CX13" i="10"/>
  <c r="CU13" i="10"/>
  <c r="CU12" i="10"/>
  <c r="CU11" i="10"/>
  <c r="DA12" i="10"/>
  <c r="CX12" i="10"/>
  <c r="DA11" i="10"/>
  <c r="DA10" i="10"/>
  <c r="CX11" i="10"/>
  <c r="CX10" i="10"/>
  <c r="CX20" i="10"/>
  <c r="B30" i="10"/>
  <c r="CU10" i="10"/>
  <c r="DA9" i="10"/>
  <c r="CU9" i="10"/>
  <c r="DA8" i="10"/>
  <c r="DA15" i="10"/>
  <c r="CU8" i="10"/>
  <c r="CU16" i="10"/>
  <c r="DA7" i="10"/>
  <c r="DA14" i="10"/>
  <c r="CX7" i="10"/>
  <c r="CU7" i="10"/>
  <c r="CU15" i="10"/>
  <c r="DA6" i="10"/>
  <c r="DA13" i="10"/>
  <c r="CX6" i="10"/>
  <c r="CX22" i="10"/>
  <c r="CU6" i="10"/>
  <c r="CU14" i="10"/>
  <c r="DA51" i="9"/>
  <c r="DA52" i="9"/>
  <c r="DA26" i="9"/>
  <c r="DA29" i="9"/>
  <c r="DA30" i="9"/>
  <c r="DA25" i="9"/>
  <c r="DA27" i="9"/>
  <c r="DA28" i="9"/>
  <c r="DA24" i="9"/>
  <c r="CX12" i="9"/>
  <c r="CX26" i="9"/>
  <c r="CX13" i="9"/>
  <c r="CX27" i="9"/>
  <c r="CX11" i="9"/>
  <c r="CU29" i="9"/>
  <c r="CU49" i="9"/>
  <c r="CU30" i="9"/>
  <c r="CU50" i="9"/>
  <c r="CU26" i="9"/>
  <c r="CU27" i="9"/>
  <c r="CU28" i="9"/>
  <c r="CU25" i="9"/>
  <c r="CF29" i="12"/>
  <c r="CC29" i="12"/>
  <c r="CF27" i="12"/>
  <c r="CC27" i="12"/>
  <c r="CF26" i="12"/>
  <c r="CC26" i="12"/>
  <c r="CF23" i="12"/>
  <c r="CF22" i="12"/>
  <c r="CC23" i="12"/>
  <c r="CC22" i="12"/>
  <c r="CF29" i="11"/>
  <c r="CC29" i="11"/>
  <c r="CF27" i="11"/>
  <c r="CC27" i="11"/>
  <c r="CF26" i="11"/>
  <c r="CC26" i="11"/>
  <c r="CF23" i="11"/>
  <c r="CF22" i="11"/>
  <c r="CC23" i="11"/>
  <c r="CC22" i="11"/>
  <c r="CF29" i="10"/>
  <c r="CC29" i="10"/>
  <c r="CF27" i="10"/>
  <c r="CC27" i="10"/>
  <c r="CF26" i="10"/>
  <c r="CC26" i="10"/>
  <c r="CF23" i="10"/>
  <c r="CF22" i="10"/>
  <c r="CC23" i="10"/>
  <c r="CC22" i="10"/>
  <c r="CI14" i="12"/>
  <c r="CF14" i="12"/>
  <c r="CC14" i="12"/>
  <c r="CI12" i="12"/>
  <c r="CF12" i="12"/>
  <c r="CC12" i="12"/>
  <c r="CI11" i="12"/>
  <c r="CF11" i="12"/>
  <c r="CC11" i="12"/>
  <c r="CI8" i="12"/>
  <c r="CF8" i="12"/>
  <c r="CF7" i="12"/>
  <c r="CC8" i="12"/>
  <c r="CI7" i="12"/>
  <c r="CC7" i="12"/>
  <c r="CI14" i="11"/>
  <c r="CF14" i="11"/>
  <c r="CC14" i="11"/>
  <c r="CI12" i="11"/>
  <c r="CF12" i="11"/>
  <c r="CC12" i="11"/>
  <c r="CI11" i="11"/>
  <c r="CF11" i="11"/>
  <c r="CC11" i="11"/>
  <c r="CI8" i="11"/>
  <c r="CF8" i="11"/>
  <c r="CF7" i="11"/>
  <c r="CC8" i="11"/>
  <c r="CI7" i="11"/>
  <c r="CC7" i="11"/>
  <c r="CI14" i="10"/>
  <c r="CF14" i="10"/>
  <c r="CC14" i="10"/>
  <c r="CI12" i="10"/>
  <c r="CF12" i="10"/>
  <c r="CC12" i="10"/>
  <c r="CI11" i="10"/>
  <c r="CF11" i="10"/>
  <c r="CC11" i="10"/>
  <c r="CI8" i="10"/>
  <c r="CF8" i="10"/>
  <c r="CF7" i="10"/>
  <c r="CC8" i="10"/>
  <c r="CI7" i="10"/>
  <c r="CC7" i="10"/>
  <c r="BZ38" i="12"/>
  <c r="BZ37" i="12"/>
  <c r="BW34" i="12"/>
  <c r="BW33" i="12"/>
  <c r="BW16" i="12"/>
  <c r="H8" i="12"/>
  <c r="BW8" i="12"/>
  <c r="BW12" i="12"/>
  <c r="BZ32" i="12"/>
  <c r="BZ31" i="12"/>
  <c r="BT30" i="12"/>
  <c r="BT29" i="12"/>
  <c r="BW28" i="12"/>
  <c r="BZ21" i="12"/>
  <c r="BZ20" i="12"/>
  <c r="BT20" i="12"/>
  <c r="BT19" i="12"/>
  <c r="BT22" i="12"/>
  <c r="BZ19" i="12"/>
  <c r="BZ18" i="12"/>
  <c r="BZ16" i="12"/>
  <c r="K6" i="12"/>
  <c r="BZ6" i="12"/>
  <c r="BZ12" i="12"/>
  <c r="BZ11" i="12"/>
  <c r="BZ10" i="12"/>
  <c r="BZ13" i="12"/>
  <c r="BZ17" i="12"/>
  <c r="BW15" i="12"/>
  <c r="BW14" i="12"/>
  <c r="BW13" i="12"/>
  <c r="BT13" i="12"/>
  <c r="BT12" i="12"/>
  <c r="BT11" i="12"/>
  <c r="BT10" i="12"/>
  <c r="BT21" i="12"/>
  <c r="H6" i="12"/>
  <c r="BW6" i="12"/>
  <c r="BW10" i="12"/>
  <c r="BZ9" i="12"/>
  <c r="E35" i="12"/>
  <c r="BW9" i="12"/>
  <c r="K8" i="12"/>
  <c r="BZ8" i="12"/>
  <c r="BZ15" i="12"/>
  <c r="E10" i="12"/>
  <c r="BZ7" i="12"/>
  <c r="BZ14" i="12"/>
  <c r="BW7" i="12"/>
  <c r="BT7" i="12"/>
  <c r="BT6" i="12"/>
  <c r="BZ38" i="11"/>
  <c r="BZ37" i="11"/>
  <c r="BW34" i="11"/>
  <c r="BW33" i="11"/>
  <c r="BZ32" i="11"/>
  <c r="BZ31" i="11"/>
  <c r="BT30" i="11"/>
  <c r="BT29" i="11"/>
  <c r="BW28" i="11"/>
  <c r="BZ21" i="11"/>
  <c r="BZ20" i="11"/>
  <c r="BZ17" i="11"/>
  <c r="BT20" i="11"/>
  <c r="BZ19" i="11"/>
  <c r="BT19" i="11"/>
  <c r="BT22" i="11"/>
  <c r="BZ18" i="11"/>
  <c r="BZ16" i="11"/>
  <c r="BW16" i="11"/>
  <c r="BW15" i="11"/>
  <c r="BW14" i="11"/>
  <c r="BW13" i="11"/>
  <c r="BT13" i="11"/>
  <c r="BZ12" i="11"/>
  <c r="BZ11" i="11"/>
  <c r="BZ10" i="11"/>
  <c r="BT12" i="11"/>
  <c r="BT11" i="11"/>
  <c r="BT10" i="11"/>
  <c r="BT21" i="11"/>
  <c r="BZ9" i="11"/>
  <c r="E35" i="11"/>
  <c r="BW9" i="11"/>
  <c r="K8" i="11"/>
  <c r="BZ8" i="11"/>
  <c r="BZ15" i="11"/>
  <c r="H8" i="11"/>
  <c r="BW8" i="11"/>
  <c r="BW12" i="11"/>
  <c r="E10" i="11"/>
  <c r="BZ7" i="11"/>
  <c r="BZ14" i="11"/>
  <c r="BW7" i="11"/>
  <c r="BT7" i="11"/>
  <c r="K6" i="11"/>
  <c r="BZ6" i="11"/>
  <c r="BZ13" i="11"/>
  <c r="H6" i="11"/>
  <c r="BW6" i="11"/>
  <c r="BW10" i="11"/>
  <c r="BT6" i="11"/>
  <c r="BT24" i="11"/>
  <c r="BZ38" i="10"/>
  <c r="BZ37" i="10"/>
  <c r="BW34" i="10"/>
  <c r="BW33" i="10"/>
  <c r="BZ32" i="10"/>
  <c r="BZ31" i="10"/>
  <c r="BT30" i="10"/>
  <c r="BT29" i="10"/>
  <c r="BW28" i="10"/>
  <c r="BZ21" i="10"/>
  <c r="BZ20" i="10"/>
  <c r="BT20" i="10"/>
  <c r="BZ19" i="10"/>
  <c r="BT19" i="10"/>
  <c r="BT22" i="10"/>
  <c r="BZ18" i="10"/>
  <c r="BZ16" i="10"/>
  <c r="BZ17" i="10"/>
  <c r="BW16" i="10"/>
  <c r="BW15" i="10"/>
  <c r="BW14" i="10"/>
  <c r="BW13" i="10"/>
  <c r="BT13" i="10"/>
  <c r="BZ12" i="10"/>
  <c r="BZ11" i="10"/>
  <c r="BZ10" i="10"/>
  <c r="H8" i="10"/>
  <c r="BW8" i="10"/>
  <c r="BW12" i="10"/>
  <c r="BT12" i="10"/>
  <c r="BT11" i="10"/>
  <c r="H6" i="10"/>
  <c r="BW6" i="10"/>
  <c r="BW10" i="10"/>
  <c r="BT10" i="10"/>
  <c r="BT21" i="10"/>
  <c r="BZ9" i="10"/>
  <c r="E35" i="10"/>
  <c r="BW9" i="10"/>
  <c r="K8" i="10"/>
  <c r="BZ8" i="10"/>
  <c r="E10" i="10"/>
  <c r="BZ7" i="10"/>
  <c r="BW7" i="10"/>
  <c r="BT7" i="10"/>
  <c r="BT6" i="10"/>
  <c r="K6" i="10"/>
  <c r="BZ6" i="10"/>
  <c r="BZ38" i="9"/>
  <c r="BZ37" i="9"/>
  <c r="BW34" i="9"/>
  <c r="BW33" i="9"/>
  <c r="BW16" i="9"/>
  <c r="H8" i="9"/>
  <c r="BW8" i="9"/>
  <c r="BW12" i="9"/>
  <c r="BZ32" i="9"/>
  <c r="BZ31" i="9"/>
  <c r="BT30" i="9"/>
  <c r="BT29" i="9"/>
  <c r="BW28" i="9"/>
  <c r="BT19" i="9"/>
  <c r="BT20" i="9"/>
  <c r="BT22" i="9"/>
  <c r="BZ21" i="9"/>
  <c r="BZ20" i="9"/>
  <c r="BZ19" i="9"/>
  <c r="BZ18" i="9"/>
  <c r="BZ16" i="9"/>
  <c r="K6" i="9"/>
  <c r="BZ6" i="9"/>
  <c r="BZ12" i="9"/>
  <c r="BZ11" i="9"/>
  <c r="BZ10" i="9"/>
  <c r="BZ13" i="9"/>
  <c r="BZ17" i="9"/>
  <c r="BW15" i="9"/>
  <c r="BW14" i="9"/>
  <c r="BT13" i="9"/>
  <c r="BT12" i="9"/>
  <c r="BT11" i="9"/>
  <c r="BT10" i="9"/>
  <c r="BT21" i="9"/>
  <c r="B30" i="9"/>
  <c r="BZ9" i="9"/>
  <c r="E35" i="9"/>
  <c r="BW9" i="9"/>
  <c r="K8" i="9"/>
  <c r="BZ8" i="9"/>
  <c r="BZ15" i="9"/>
  <c r="E10" i="9"/>
  <c r="BZ7" i="9"/>
  <c r="BZ14" i="9"/>
  <c r="BW7" i="9"/>
  <c r="BT7" i="9"/>
  <c r="BT6" i="9"/>
  <c r="H6" i="9"/>
  <c r="BW6" i="9"/>
  <c r="BW15" i="6"/>
  <c r="BW14" i="6"/>
  <c r="BN34" i="12"/>
  <c r="BK34" i="12"/>
  <c r="BN33" i="12"/>
  <c r="BK33" i="12"/>
  <c r="AM33" i="12"/>
  <c r="AJ33" i="12"/>
  <c r="BN32" i="12"/>
  <c r="BK32" i="12"/>
  <c r="BE32" i="12"/>
  <c r="BB32" i="12"/>
  <c r="AV32" i="12"/>
  <c r="AS32" i="12"/>
  <c r="AM32" i="12"/>
  <c r="AJ32" i="12"/>
  <c r="BN31" i="12"/>
  <c r="BK31" i="12"/>
  <c r="BE31" i="12"/>
  <c r="BB31" i="12"/>
  <c r="AV31" i="12"/>
  <c r="AS31" i="12"/>
  <c r="BE30" i="12"/>
  <c r="BB30" i="12"/>
  <c r="AV30" i="12"/>
  <c r="AS30" i="12"/>
  <c r="AM30" i="12"/>
  <c r="AJ30" i="12"/>
  <c r="BE29" i="12"/>
  <c r="BB29" i="12"/>
  <c r="AV29" i="12"/>
  <c r="AS29" i="12"/>
  <c r="AM29" i="12"/>
  <c r="AJ29" i="12"/>
  <c r="BN26" i="12"/>
  <c r="BK26" i="12"/>
  <c r="BN25" i="12"/>
  <c r="BK25" i="12"/>
  <c r="BE25" i="12"/>
  <c r="BB25" i="12"/>
  <c r="AV25" i="12"/>
  <c r="AS25" i="12"/>
  <c r="AM25" i="12"/>
  <c r="AJ25" i="12"/>
  <c r="BN24" i="12"/>
  <c r="BK24" i="12"/>
  <c r="BE24" i="12"/>
  <c r="BB24" i="12"/>
  <c r="AV24" i="12"/>
  <c r="AS24" i="12"/>
  <c r="AM24" i="12"/>
  <c r="AJ24" i="12"/>
  <c r="BN34" i="11"/>
  <c r="BK34" i="11"/>
  <c r="BN33" i="11"/>
  <c r="BK33" i="11"/>
  <c r="AM33" i="11"/>
  <c r="AJ33" i="11"/>
  <c r="BN32" i="11"/>
  <c r="BK32" i="11"/>
  <c r="BE32" i="11"/>
  <c r="BB32" i="11"/>
  <c r="AV32" i="11"/>
  <c r="AS32" i="11"/>
  <c r="AM32" i="11"/>
  <c r="AJ32" i="11"/>
  <c r="BN31" i="11"/>
  <c r="BK31" i="11"/>
  <c r="BE31" i="11"/>
  <c r="BB31" i="11"/>
  <c r="AV31" i="11"/>
  <c r="AS31" i="11"/>
  <c r="BE30" i="11"/>
  <c r="BB30" i="11"/>
  <c r="AV30" i="11"/>
  <c r="AS30" i="11"/>
  <c r="AM30" i="11"/>
  <c r="AJ30" i="11"/>
  <c r="BE29" i="11"/>
  <c r="BB29" i="11"/>
  <c r="AV29" i="11"/>
  <c r="AS29" i="11"/>
  <c r="AM29" i="11"/>
  <c r="AJ29" i="11"/>
  <c r="BN26" i="11"/>
  <c r="BK26" i="11"/>
  <c r="BN25" i="11"/>
  <c r="BK25" i="11"/>
  <c r="BE25" i="11"/>
  <c r="BB25" i="11"/>
  <c r="AV25" i="11"/>
  <c r="AS25" i="11"/>
  <c r="AM25" i="11"/>
  <c r="AJ25" i="11"/>
  <c r="BN24" i="11"/>
  <c r="BK24" i="11"/>
  <c r="BE24" i="11"/>
  <c r="BB24" i="11"/>
  <c r="AV24" i="11"/>
  <c r="AS24" i="11"/>
  <c r="AM24" i="11"/>
  <c r="AJ24" i="11"/>
  <c r="BN34" i="10"/>
  <c r="BK34" i="10"/>
  <c r="BN33" i="10"/>
  <c r="BK33" i="10"/>
  <c r="AM33" i="10"/>
  <c r="AJ33" i="10"/>
  <c r="BN32" i="10"/>
  <c r="BK32" i="10"/>
  <c r="BE32" i="10"/>
  <c r="BB32" i="10"/>
  <c r="AV32" i="10"/>
  <c r="AS32" i="10"/>
  <c r="AM32" i="10"/>
  <c r="AJ32" i="10"/>
  <c r="BN31" i="10"/>
  <c r="BK31" i="10"/>
  <c r="BE31" i="10"/>
  <c r="BB31" i="10"/>
  <c r="AV31" i="10"/>
  <c r="AS31" i="10"/>
  <c r="BE30" i="10"/>
  <c r="BB30" i="10"/>
  <c r="AV30" i="10"/>
  <c r="AS30" i="10"/>
  <c r="AM30" i="10"/>
  <c r="AJ30" i="10"/>
  <c r="BE29" i="10"/>
  <c r="BB29" i="10"/>
  <c r="AV29" i="10"/>
  <c r="AS29" i="10"/>
  <c r="AM29" i="10"/>
  <c r="AJ29" i="10"/>
  <c r="BN26" i="10"/>
  <c r="BK26" i="10"/>
  <c r="BN25" i="10"/>
  <c r="BK25" i="10"/>
  <c r="BE25" i="10"/>
  <c r="BB25" i="10"/>
  <c r="AV25" i="10"/>
  <c r="AS25" i="10"/>
  <c r="AM25" i="10"/>
  <c r="AJ25" i="10"/>
  <c r="BN24" i="10"/>
  <c r="BK24" i="10"/>
  <c r="BE24" i="10"/>
  <c r="BB24" i="10"/>
  <c r="AV24" i="10"/>
  <c r="AS24" i="10"/>
  <c r="AM24" i="10"/>
  <c r="AJ24" i="10"/>
  <c r="BQ16" i="12"/>
  <c r="BN16" i="12"/>
  <c r="BK16" i="12"/>
  <c r="AP16" i="12"/>
  <c r="AM16" i="12"/>
  <c r="AJ16" i="12"/>
  <c r="BQ15" i="12"/>
  <c r="BN15" i="12"/>
  <c r="BK15" i="12"/>
  <c r="BH15" i="12"/>
  <c r="BE15" i="12"/>
  <c r="BB15" i="12"/>
  <c r="AY15" i="12"/>
  <c r="AV15" i="12"/>
  <c r="AS15" i="12"/>
  <c r="AP15" i="12"/>
  <c r="AM15" i="12"/>
  <c r="AJ15" i="12"/>
  <c r="BQ14" i="12"/>
  <c r="BN14" i="12"/>
  <c r="BK14" i="12"/>
  <c r="BH14" i="12"/>
  <c r="BE14" i="12"/>
  <c r="BB14" i="12"/>
  <c r="AY14" i="12"/>
  <c r="AV14" i="12"/>
  <c r="AS14" i="12"/>
  <c r="BQ13" i="12"/>
  <c r="BN13" i="12"/>
  <c r="BK13" i="12"/>
  <c r="BH13" i="12"/>
  <c r="BE13" i="12"/>
  <c r="BB13" i="12"/>
  <c r="AY13" i="12"/>
  <c r="AV13" i="12"/>
  <c r="AS13" i="12"/>
  <c r="AP13" i="12"/>
  <c r="AM13" i="12"/>
  <c r="AJ13" i="12"/>
  <c r="BH12" i="12"/>
  <c r="BE12" i="12"/>
  <c r="BB12" i="12"/>
  <c r="AY12" i="12"/>
  <c r="AV12" i="12"/>
  <c r="AS12" i="12"/>
  <c r="AP12" i="12"/>
  <c r="AM12" i="12"/>
  <c r="AJ12" i="12"/>
  <c r="BQ9" i="12"/>
  <c r="BN9" i="12"/>
  <c r="BK9" i="12"/>
  <c r="BQ8" i="12"/>
  <c r="BN8" i="12"/>
  <c r="BK8" i="12"/>
  <c r="BH8" i="12"/>
  <c r="BE8" i="12"/>
  <c r="BB8" i="12"/>
  <c r="AY8" i="12"/>
  <c r="AV8" i="12"/>
  <c r="AS8" i="12"/>
  <c r="AP8" i="12"/>
  <c r="AM8" i="12"/>
  <c r="AJ8" i="12"/>
  <c r="BQ7" i="12"/>
  <c r="BN7" i="12"/>
  <c r="BK7" i="12"/>
  <c r="BH7" i="12"/>
  <c r="BE7" i="12"/>
  <c r="BB7" i="12"/>
  <c r="AY7" i="12"/>
  <c r="AV7" i="12"/>
  <c r="AS7" i="12"/>
  <c r="AP7" i="12"/>
  <c r="AM7" i="12"/>
  <c r="AJ7" i="12"/>
  <c r="BQ16" i="11"/>
  <c r="BN16" i="11"/>
  <c r="BK16" i="11"/>
  <c r="AP16" i="11"/>
  <c r="AM16" i="11"/>
  <c r="AJ16" i="11"/>
  <c r="BQ15" i="11"/>
  <c r="BN15" i="11"/>
  <c r="BK15" i="11"/>
  <c r="BH15" i="11"/>
  <c r="BE15" i="11"/>
  <c r="BB15" i="11"/>
  <c r="AY15" i="11"/>
  <c r="AV15" i="11"/>
  <c r="AS15" i="11"/>
  <c r="AP15" i="11"/>
  <c r="AM15" i="11"/>
  <c r="AJ15" i="11"/>
  <c r="BQ14" i="11"/>
  <c r="BN14" i="11"/>
  <c r="BK14" i="11"/>
  <c r="BH14" i="11"/>
  <c r="BE14" i="11"/>
  <c r="BB14" i="11"/>
  <c r="AY14" i="11"/>
  <c r="AV14" i="11"/>
  <c r="AS14" i="11"/>
  <c r="BQ13" i="11"/>
  <c r="BN13" i="11"/>
  <c r="BK13" i="11"/>
  <c r="BH13" i="11"/>
  <c r="BE13" i="11"/>
  <c r="BB13" i="11"/>
  <c r="AY13" i="11"/>
  <c r="AV13" i="11"/>
  <c r="AS13" i="11"/>
  <c r="AP13" i="11"/>
  <c r="AM13" i="11"/>
  <c r="AJ13" i="11"/>
  <c r="BH12" i="11"/>
  <c r="BE12" i="11"/>
  <c r="BB12" i="11"/>
  <c r="AY12" i="11"/>
  <c r="AV12" i="11"/>
  <c r="AS12" i="11"/>
  <c r="AP12" i="11"/>
  <c r="AM12" i="11"/>
  <c r="AJ12" i="11"/>
  <c r="BQ9" i="11"/>
  <c r="BN9" i="11"/>
  <c r="BK9" i="11"/>
  <c r="BQ8" i="11"/>
  <c r="BN8" i="11"/>
  <c r="BK8" i="11"/>
  <c r="BH8" i="11"/>
  <c r="BE8" i="11"/>
  <c r="BB8" i="11"/>
  <c r="AY8" i="11"/>
  <c r="AV8" i="11"/>
  <c r="AS8" i="11"/>
  <c r="AP8" i="11"/>
  <c r="AM8" i="11"/>
  <c r="AJ8" i="11"/>
  <c r="BQ7" i="11"/>
  <c r="BN7" i="11"/>
  <c r="BK7" i="11"/>
  <c r="BH7" i="11"/>
  <c r="BE7" i="11"/>
  <c r="BB7" i="11"/>
  <c r="AY7" i="11"/>
  <c r="AV7" i="11"/>
  <c r="AS7" i="11"/>
  <c r="AP7" i="11"/>
  <c r="AM7" i="11"/>
  <c r="AJ7" i="11"/>
  <c r="BQ16" i="10"/>
  <c r="BN16" i="10"/>
  <c r="BK16" i="10"/>
  <c r="AP16" i="10"/>
  <c r="AM16" i="10"/>
  <c r="AJ16" i="10"/>
  <c r="BQ15" i="10"/>
  <c r="BN15" i="10"/>
  <c r="BK15" i="10"/>
  <c r="BH15" i="10"/>
  <c r="BE15" i="10"/>
  <c r="BB15" i="10"/>
  <c r="AY15" i="10"/>
  <c r="AV15" i="10"/>
  <c r="AS15" i="10"/>
  <c r="AP15" i="10"/>
  <c r="AM15" i="10"/>
  <c r="AJ15" i="10"/>
  <c r="BQ14" i="10"/>
  <c r="BN14" i="10"/>
  <c r="BK14" i="10"/>
  <c r="BH14" i="10"/>
  <c r="BE14" i="10"/>
  <c r="BB14" i="10"/>
  <c r="AY14" i="10"/>
  <c r="AV14" i="10"/>
  <c r="AS14" i="10"/>
  <c r="BQ13" i="10"/>
  <c r="BN13" i="10"/>
  <c r="BK13" i="10"/>
  <c r="BH13" i="10"/>
  <c r="BE13" i="10"/>
  <c r="BB13" i="10"/>
  <c r="AY13" i="10"/>
  <c r="AV13" i="10"/>
  <c r="AS13" i="10"/>
  <c r="AP13" i="10"/>
  <c r="AM13" i="10"/>
  <c r="AJ13" i="10"/>
  <c r="BH12" i="10"/>
  <c r="BE12" i="10"/>
  <c r="BB12" i="10"/>
  <c r="AY12" i="10"/>
  <c r="AV12" i="10"/>
  <c r="AS12" i="10"/>
  <c r="AP12" i="10"/>
  <c r="AM12" i="10"/>
  <c r="AJ12" i="10"/>
  <c r="BQ9" i="10"/>
  <c r="BN9" i="10"/>
  <c r="BK9" i="10"/>
  <c r="BQ8" i="10"/>
  <c r="BN8" i="10"/>
  <c r="BK8" i="10"/>
  <c r="BH8" i="10"/>
  <c r="BE8" i="10"/>
  <c r="BB8" i="10"/>
  <c r="AY8" i="10"/>
  <c r="AV8" i="10"/>
  <c r="AS8" i="10"/>
  <c r="AP8" i="10"/>
  <c r="AM8" i="10"/>
  <c r="AJ8" i="10"/>
  <c r="BQ7" i="10"/>
  <c r="BN7" i="10"/>
  <c r="BK7" i="10"/>
  <c r="BH7" i="10"/>
  <c r="BE7" i="10"/>
  <c r="BB7" i="10"/>
  <c r="AY7" i="10"/>
  <c r="AV7" i="10"/>
  <c r="AS7" i="10"/>
  <c r="AP7" i="10"/>
  <c r="AM7" i="10"/>
  <c r="AJ7" i="10"/>
  <c r="J4" i="5"/>
  <c r="J39" i="5"/>
  <c r="J41" i="5"/>
  <c r="J6" i="5"/>
  <c r="J7" i="5"/>
  <c r="J14" i="5"/>
  <c r="J9" i="5"/>
  <c r="J10" i="5"/>
  <c r="J15" i="5"/>
  <c r="J11" i="5"/>
  <c r="J16" i="5"/>
  <c r="J12" i="5"/>
  <c r="J13" i="5"/>
  <c r="AG8" i="1"/>
  <c r="J17" i="5"/>
  <c r="J40" i="5"/>
  <c r="J5" i="5"/>
  <c r="J8" i="5"/>
  <c r="J3" i="5"/>
  <c r="B32" i="12"/>
  <c r="AG42" i="12"/>
  <c r="G4" i="5"/>
  <c r="G20" i="5"/>
  <c r="G18" i="5"/>
  <c r="G10" i="5"/>
  <c r="G9" i="5"/>
  <c r="AF8" i="1"/>
  <c r="G13" i="5"/>
  <c r="G27" i="5"/>
  <c r="G5" i="5"/>
  <c r="G11" i="5"/>
  <c r="G6" i="5"/>
  <c r="G7" i="5"/>
  <c r="G12" i="5"/>
  <c r="G19" i="5"/>
  <c r="G8" i="5"/>
  <c r="G3" i="5"/>
  <c r="B31" i="12"/>
  <c r="AF41" i="12"/>
  <c r="AE40" i="12"/>
  <c r="AD40" i="12"/>
  <c r="AC40" i="12"/>
  <c r="AD33" i="12"/>
  <c r="AD32" i="12"/>
  <c r="AD35" i="12"/>
  <c r="AG33" i="12"/>
  <c r="AF33" i="12"/>
  <c r="AE33" i="12"/>
  <c r="AE32" i="12"/>
  <c r="AE35" i="12"/>
  <c r="AC33" i="12"/>
  <c r="AG32" i="12"/>
  <c r="AG35" i="12"/>
  <c r="AF32" i="12"/>
  <c r="AF35" i="12"/>
  <c r="AF24" i="12"/>
  <c r="AF20" i="12"/>
  <c r="AF8" i="12"/>
  <c r="AF28" i="12"/>
  <c r="AF19" i="12"/>
  <c r="AF38" i="12"/>
  <c r="AC32" i="12"/>
  <c r="AC35" i="12"/>
  <c r="AC9" i="12"/>
  <c r="AC37" i="12"/>
  <c r="AG29" i="12"/>
  <c r="AF29" i="12"/>
  <c r="AE29" i="12"/>
  <c r="AD29" i="12"/>
  <c r="AC29" i="12"/>
  <c r="AG28" i="12"/>
  <c r="AE28" i="12"/>
  <c r="AD28" i="12"/>
  <c r="AC28" i="12"/>
  <c r="AG24" i="12"/>
  <c r="AE24" i="12"/>
  <c r="AE20" i="12"/>
  <c r="AE38" i="12"/>
  <c r="AD24" i="12"/>
  <c r="AD20" i="12"/>
  <c r="AD38" i="12"/>
  <c r="AC24" i="12"/>
  <c r="AC20" i="12"/>
  <c r="AC38" i="12"/>
  <c r="AG23" i="12"/>
  <c r="AF23" i="12"/>
  <c r="AF22" i="12"/>
  <c r="AF39" i="12"/>
  <c r="AE23" i="12"/>
  <c r="AE22" i="12"/>
  <c r="AE19" i="12"/>
  <c r="AE39" i="12"/>
  <c r="AD23" i="12"/>
  <c r="AD22" i="12"/>
  <c r="AD39" i="12"/>
  <c r="AC23" i="12"/>
  <c r="AC22" i="12"/>
  <c r="AC19" i="12"/>
  <c r="AC39" i="12"/>
  <c r="AG22" i="12"/>
  <c r="AG20" i="12"/>
  <c r="AG19" i="12"/>
  <c r="AD19" i="12"/>
  <c r="AG9" i="12"/>
  <c r="AF9" i="12"/>
  <c r="AF37" i="12"/>
  <c r="AE9" i="12"/>
  <c r="AE37" i="12"/>
  <c r="AD9" i="12"/>
  <c r="AD37" i="12"/>
  <c r="AG8" i="12"/>
  <c r="AG37" i="12"/>
  <c r="B32" i="11"/>
  <c r="AG42" i="11"/>
  <c r="B31" i="11"/>
  <c r="AF41" i="11"/>
  <c r="AE40" i="11"/>
  <c r="AD40" i="11"/>
  <c r="AC40" i="11"/>
  <c r="AG33" i="11"/>
  <c r="AF33" i="11"/>
  <c r="AE33" i="11"/>
  <c r="AD33" i="11"/>
  <c r="AC33" i="11"/>
  <c r="AG32" i="11"/>
  <c r="AG35" i="11"/>
  <c r="AF32" i="11"/>
  <c r="AF35" i="11"/>
  <c r="AE32" i="11"/>
  <c r="AE35" i="11"/>
  <c r="AD32" i="11"/>
  <c r="AD35" i="11"/>
  <c r="AC32" i="11"/>
  <c r="AC35" i="11"/>
  <c r="AG29" i="11"/>
  <c r="AF29" i="11"/>
  <c r="AE29" i="11"/>
  <c r="AD29" i="11"/>
  <c r="AC29" i="11"/>
  <c r="AG28" i="11"/>
  <c r="AF28" i="11"/>
  <c r="AE28" i="11"/>
  <c r="AD28" i="11"/>
  <c r="AC28" i="11"/>
  <c r="AG24" i="11"/>
  <c r="AG20" i="11"/>
  <c r="AG8" i="11"/>
  <c r="AG39" i="11"/>
  <c r="AF24" i="11"/>
  <c r="AF20" i="11"/>
  <c r="AF8" i="11"/>
  <c r="AF19" i="11"/>
  <c r="AF38" i="11"/>
  <c r="AE24" i="11"/>
  <c r="AE20" i="11"/>
  <c r="AE38" i="11"/>
  <c r="AD24" i="11"/>
  <c r="AD20" i="11"/>
  <c r="AD38" i="11"/>
  <c r="AC24" i="11"/>
  <c r="AC20" i="11"/>
  <c r="AC38" i="11"/>
  <c r="AG23" i="11"/>
  <c r="AG22" i="11"/>
  <c r="AG40" i="11"/>
  <c r="AF23" i="11"/>
  <c r="AF22" i="11"/>
  <c r="AF39" i="11"/>
  <c r="AE23" i="11"/>
  <c r="AE22" i="11"/>
  <c r="AE19" i="11"/>
  <c r="AE39" i="11"/>
  <c r="AD23" i="11"/>
  <c r="AD22" i="11"/>
  <c r="AD39" i="11"/>
  <c r="AC23" i="11"/>
  <c r="AC22" i="11"/>
  <c r="AC19" i="11"/>
  <c r="AC39" i="11"/>
  <c r="AG19" i="11"/>
  <c r="AD19" i="11"/>
  <c r="AG9" i="11"/>
  <c r="AG37" i="11"/>
  <c r="AF9" i="11"/>
  <c r="AF37" i="11"/>
  <c r="AE9" i="11"/>
  <c r="AE37" i="11"/>
  <c r="AD9" i="11"/>
  <c r="AD37" i="11"/>
  <c r="AC9" i="11"/>
  <c r="AC37" i="11"/>
  <c r="B32" i="10"/>
  <c r="AG42" i="10"/>
  <c r="B31" i="10"/>
  <c r="AF41" i="10"/>
  <c r="AE40" i="10"/>
  <c r="AD40" i="10"/>
  <c r="AC40" i="10"/>
  <c r="AG33" i="10"/>
  <c r="AF33" i="10"/>
  <c r="AE33" i="10"/>
  <c r="AE32" i="10"/>
  <c r="AE35" i="10"/>
  <c r="AD33" i="10"/>
  <c r="AC33" i="10"/>
  <c r="AG32" i="10"/>
  <c r="AG35" i="10"/>
  <c r="AF32" i="10"/>
  <c r="AF35" i="10"/>
  <c r="AD32" i="10"/>
  <c r="AD35" i="10"/>
  <c r="AC32" i="10"/>
  <c r="AC35" i="10"/>
  <c r="AG29" i="10"/>
  <c r="AF29" i="10"/>
  <c r="AE29" i="10"/>
  <c r="AD29" i="10"/>
  <c r="AC29" i="10"/>
  <c r="AG28" i="10"/>
  <c r="AF28" i="10"/>
  <c r="AE28" i="10"/>
  <c r="AD28" i="10"/>
  <c r="AC28" i="10"/>
  <c r="AG24" i="10"/>
  <c r="AF24" i="10"/>
  <c r="AE24" i="10"/>
  <c r="AE20" i="10"/>
  <c r="AE38" i="10"/>
  <c r="AD24" i="10"/>
  <c r="AD20" i="10"/>
  <c r="AD38" i="10"/>
  <c r="AC24" i="10"/>
  <c r="AC20" i="10"/>
  <c r="AC38" i="10"/>
  <c r="AG23" i="10"/>
  <c r="AG22" i="10"/>
  <c r="AG8" i="10"/>
  <c r="AG40" i="10"/>
  <c r="AF23" i="10"/>
  <c r="AF22" i="10"/>
  <c r="AF8" i="10"/>
  <c r="AF39" i="10"/>
  <c r="AE23" i="10"/>
  <c r="AE22" i="10"/>
  <c r="AE19" i="10"/>
  <c r="AE39" i="10"/>
  <c r="AD23" i="10"/>
  <c r="AD22" i="10"/>
  <c r="AD39" i="10"/>
  <c r="AC23" i="10"/>
  <c r="AC22" i="10"/>
  <c r="AC19" i="10"/>
  <c r="AC39" i="10"/>
  <c r="AG20" i="10"/>
  <c r="AF20" i="10"/>
  <c r="AG19" i="10"/>
  <c r="AF19" i="10"/>
  <c r="AD19" i="10"/>
  <c r="AG9" i="10"/>
  <c r="AG37" i="10"/>
  <c r="AF9" i="10"/>
  <c r="AF37" i="10"/>
  <c r="AE9" i="10"/>
  <c r="AE37" i="10"/>
  <c r="AD9" i="10"/>
  <c r="AD37" i="10"/>
  <c r="AC9" i="10"/>
  <c r="AC37" i="10"/>
  <c r="Z36" i="12"/>
  <c r="W36" i="12"/>
  <c r="Z35" i="12"/>
  <c r="Z29" i="12"/>
  <c r="Z40" i="12"/>
  <c r="W35" i="12"/>
  <c r="W28" i="12"/>
  <c r="W27" i="12"/>
  <c r="W40" i="12"/>
  <c r="Z34" i="12"/>
  <c r="W34" i="12"/>
  <c r="Z31" i="12"/>
  <c r="Z39" i="12"/>
  <c r="W31" i="12"/>
  <c r="W39" i="12"/>
  <c r="Z28" i="12"/>
  <c r="Z27" i="12"/>
  <c r="Z38" i="12"/>
  <c r="Z36" i="11"/>
  <c r="W36" i="11"/>
  <c r="Z35" i="11"/>
  <c r="Z29" i="11"/>
  <c r="Z40" i="11"/>
  <c r="W35" i="11"/>
  <c r="W38" i="11"/>
  <c r="Z34" i="11"/>
  <c r="W34" i="11"/>
  <c r="Z31" i="11"/>
  <c r="Z39" i="11"/>
  <c r="W31" i="11"/>
  <c r="W37" i="11"/>
  <c r="Z28" i="11"/>
  <c r="W28" i="11"/>
  <c r="W27" i="11"/>
  <c r="Z27" i="11"/>
  <c r="Z38" i="11"/>
  <c r="Z36" i="10"/>
  <c r="W36" i="10"/>
  <c r="Z35" i="10"/>
  <c r="W35" i="10"/>
  <c r="W38" i="10"/>
  <c r="Z34" i="10"/>
  <c r="W34" i="10"/>
  <c r="Z31" i="10"/>
  <c r="Z29" i="10"/>
  <c r="Z39" i="10"/>
  <c r="W31" i="10"/>
  <c r="W28" i="10"/>
  <c r="W27" i="10"/>
  <c r="W39" i="10"/>
  <c r="Z40" i="10"/>
  <c r="Z28" i="10"/>
  <c r="Z27" i="10"/>
  <c r="Z38" i="10"/>
  <c r="W40" i="10"/>
  <c r="Z15" i="12"/>
  <c r="W15" i="12"/>
  <c r="Z14" i="12"/>
  <c r="Z17" i="12"/>
  <c r="W14" i="12"/>
  <c r="W17" i="12"/>
  <c r="Z13" i="12"/>
  <c r="W13" i="12"/>
  <c r="Z10" i="12"/>
  <c r="Z16" i="12"/>
  <c r="W10" i="12"/>
  <c r="W16" i="12"/>
  <c r="Z7" i="12"/>
  <c r="W7" i="12"/>
  <c r="W6" i="12"/>
  <c r="Z6" i="12"/>
  <c r="Z19" i="12"/>
  <c r="Z15" i="11"/>
  <c r="W15" i="11"/>
  <c r="Z14" i="11"/>
  <c r="Z17" i="11"/>
  <c r="W14" i="11"/>
  <c r="W17" i="11"/>
  <c r="Z13" i="11"/>
  <c r="W13" i="11"/>
  <c r="Z10" i="11"/>
  <c r="Z16" i="11"/>
  <c r="W10" i="11"/>
  <c r="W16" i="11"/>
  <c r="Z7" i="11"/>
  <c r="W7" i="11"/>
  <c r="W6" i="11"/>
  <c r="Z6" i="11"/>
  <c r="Z19" i="11"/>
  <c r="Z15" i="10"/>
  <c r="W15" i="10"/>
  <c r="Z14" i="10"/>
  <c r="Z17" i="10"/>
  <c r="W14" i="10"/>
  <c r="W17" i="10"/>
  <c r="Z13" i="10"/>
  <c r="W13" i="10"/>
  <c r="Z10" i="10"/>
  <c r="Z16" i="10"/>
  <c r="W10" i="10"/>
  <c r="W16" i="10"/>
  <c r="Z7" i="10"/>
  <c r="W7" i="10"/>
  <c r="Z6" i="10"/>
  <c r="Z19" i="10"/>
  <c r="W6" i="10"/>
  <c r="W19" i="10"/>
  <c r="B50" i="7"/>
  <c r="GP19" i="7"/>
  <c r="B49" i="7"/>
  <c r="GP18" i="7"/>
  <c r="GP10" i="7"/>
  <c r="GP9" i="7"/>
  <c r="GP8" i="7"/>
  <c r="GP6" i="7"/>
  <c r="B50" i="8"/>
  <c r="GP19" i="8"/>
  <c r="B49" i="8"/>
  <c r="GP18" i="8"/>
  <c r="GP10" i="8"/>
  <c r="GP9" i="8"/>
  <c r="GP8" i="8"/>
  <c r="GP6" i="8"/>
  <c r="GP7" i="8"/>
  <c r="B50" i="6"/>
  <c r="GP19" i="6"/>
  <c r="B49" i="6"/>
  <c r="GP18" i="6"/>
  <c r="GP10" i="6"/>
  <c r="GP9" i="6"/>
  <c r="GP8" i="6"/>
  <c r="GP6" i="6"/>
  <c r="GA20" i="7"/>
  <c r="GA19" i="7"/>
  <c r="GA10" i="7"/>
  <c r="GA9" i="7"/>
  <c r="GA8" i="7"/>
  <c r="GA6" i="7"/>
  <c r="GA7" i="7"/>
  <c r="GA20" i="8"/>
  <c r="GA19" i="8"/>
  <c r="GA10" i="8"/>
  <c r="GA9" i="8"/>
  <c r="GA8" i="8"/>
  <c r="GA6" i="8"/>
  <c r="GA7" i="8"/>
  <c r="GA20" i="6"/>
  <c r="GA19" i="6"/>
  <c r="GA10" i="6"/>
  <c r="GA9" i="6"/>
  <c r="GA8" i="6"/>
  <c r="GA6" i="6"/>
  <c r="GA7" i="6"/>
  <c r="FL20" i="7"/>
  <c r="FL19" i="7"/>
  <c r="FL10" i="7"/>
  <c r="FL9" i="7"/>
  <c r="FL8" i="7"/>
  <c r="FL6" i="7"/>
  <c r="FL20" i="8"/>
  <c r="FL19" i="8"/>
  <c r="FL10" i="8"/>
  <c r="FL9" i="8"/>
  <c r="FL8" i="8"/>
  <c r="FL6" i="8"/>
  <c r="FL20" i="6"/>
  <c r="FL19" i="6"/>
  <c r="FL10" i="6"/>
  <c r="FL9" i="6"/>
  <c r="FL8" i="6"/>
  <c r="FL6" i="6"/>
  <c r="EW20" i="7"/>
  <c r="EW19" i="7"/>
  <c r="EW10" i="7"/>
  <c r="EW9" i="7"/>
  <c r="EW8" i="7"/>
  <c r="EW6" i="7"/>
  <c r="EW7" i="7"/>
  <c r="EW20" i="8"/>
  <c r="EW19" i="8"/>
  <c r="EW10" i="8"/>
  <c r="EW9" i="8"/>
  <c r="EW8" i="8"/>
  <c r="EW6" i="8"/>
  <c r="EW20" i="6"/>
  <c r="EW19" i="6"/>
  <c r="EW10" i="6"/>
  <c r="EW9" i="6"/>
  <c r="EW8" i="6"/>
  <c r="EW6" i="6"/>
  <c r="EW7" i="6"/>
  <c r="EH20" i="7"/>
  <c r="EH19" i="7"/>
  <c r="EH10" i="7"/>
  <c r="EH9" i="7"/>
  <c r="EH8" i="7"/>
  <c r="EH6" i="7"/>
  <c r="EH20" i="8"/>
  <c r="EH19" i="8"/>
  <c r="EH10" i="8"/>
  <c r="EH9" i="8"/>
  <c r="EH8" i="8"/>
  <c r="EH6" i="8"/>
  <c r="EH20" i="6"/>
  <c r="EH19" i="6"/>
  <c r="EH10" i="6"/>
  <c r="EH9" i="6"/>
  <c r="EH8" i="6"/>
  <c r="EH6" i="6"/>
  <c r="EH7" i="6"/>
  <c r="DS20" i="7"/>
  <c r="DS19" i="7"/>
  <c r="DS10" i="7"/>
  <c r="DS9" i="7"/>
  <c r="DS8" i="7"/>
  <c r="DS6" i="7"/>
  <c r="DS7" i="7"/>
  <c r="DS20" i="8"/>
  <c r="DS19" i="8"/>
  <c r="DS10" i="8"/>
  <c r="DS9" i="8"/>
  <c r="DS8" i="8"/>
  <c r="DS6" i="8"/>
  <c r="DS7" i="8"/>
  <c r="DS20" i="6"/>
  <c r="DS19" i="6"/>
  <c r="DS10" i="6"/>
  <c r="DS9" i="6"/>
  <c r="DS8" i="6"/>
  <c r="DS6" i="6"/>
  <c r="DS7" i="6"/>
  <c r="DD23" i="7"/>
  <c r="DD22" i="7"/>
  <c r="DD9" i="7"/>
  <c r="DD10" i="7"/>
  <c r="DD8" i="7"/>
  <c r="DD13" i="7"/>
  <c r="DD12" i="7"/>
  <c r="DD11" i="7"/>
  <c r="DD6" i="7"/>
  <c r="DD23" i="8"/>
  <c r="DD22" i="8"/>
  <c r="DD13" i="8"/>
  <c r="DD12" i="8"/>
  <c r="DD11" i="8"/>
  <c r="DD10" i="8"/>
  <c r="DD9" i="8"/>
  <c r="DD8" i="8"/>
  <c r="DD6" i="8"/>
  <c r="DD7" i="8"/>
  <c r="DG23" i="6"/>
  <c r="DD23" i="6"/>
  <c r="DD22" i="6"/>
  <c r="DD9" i="6"/>
  <c r="DD10" i="6"/>
  <c r="DD8" i="6"/>
  <c r="DD13" i="6"/>
  <c r="DD12" i="6"/>
  <c r="DD6" i="6"/>
  <c r="K9" i="12"/>
  <c r="K7" i="12"/>
  <c r="K9" i="11"/>
  <c r="K7" i="11"/>
  <c r="K9" i="10"/>
  <c r="K7" i="10"/>
  <c r="K9" i="9"/>
  <c r="K7" i="9"/>
  <c r="K9" i="7"/>
  <c r="K8" i="7"/>
  <c r="K7" i="7"/>
  <c r="K6" i="7"/>
  <c r="K9" i="8"/>
  <c r="K8" i="8"/>
  <c r="K7" i="8"/>
  <c r="K6" i="8"/>
  <c r="K9" i="6"/>
  <c r="K8" i="6"/>
  <c r="K7" i="6"/>
  <c r="K6" i="6"/>
  <c r="K7" i="1"/>
  <c r="K9" i="1"/>
  <c r="K8" i="1"/>
  <c r="K6" i="1"/>
  <c r="DA52" i="7"/>
  <c r="DA51" i="7"/>
  <c r="CU50" i="7"/>
  <c r="CU49" i="7"/>
  <c r="DA34" i="7"/>
  <c r="DA33" i="7"/>
  <c r="DA32" i="7"/>
  <c r="DA31" i="7"/>
  <c r="DA30" i="7"/>
  <c r="CU30" i="7"/>
  <c r="DA29" i="7"/>
  <c r="DA25" i="7"/>
  <c r="CU29" i="7"/>
  <c r="DA28" i="7"/>
  <c r="CU28" i="7"/>
  <c r="DA27" i="7"/>
  <c r="CX27" i="7"/>
  <c r="CU27" i="7"/>
  <c r="DA26" i="7"/>
  <c r="CX26" i="7"/>
  <c r="CU26" i="7"/>
  <c r="CU25" i="7"/>
  <c r="DA24" i="7"/>
  <c r="CX18" i="7"/>
  <c r="CX21" i="7"/>
  <c r="DA6" i="7"/>
  <c r="DA13" i="7"/>
  <c r="CX13" i="7"/>
  <c r="CU13" i="7"/>
  <c r="DA12" i="7"/>
  <c r="CX12" i="7"/>
  <c r="CX11" i="7"/>
  <c r="CU12" i="7"/>
  <c r="DA11" i="7"/>
  <c r="CU11" i="7"/>
  <c r="DA10" i="7"/>
  <c r="CX10" i="7"/>
  <c r="B18" i="7"/>
  <c r="CU10" i="7"/>
  <c r="DA9" i="7"/>
  <c r="CU9" i="7"/>
  <c r="DA8" i="7"/>
  <c r="DA15" i="7"/>
  <c r="CU8" i="7"/>
  <c r="CU16" i="7"/>
  <c r="DA7" i="7"/>
  <c r="DA14" i="7"/>
  <c r="CX7" i="7"/>
  <c r="CU7" i="7"/>
  <c r="CU15" i="7"/>
  <c r="CX6" i="7"/>
  <c r="CX22" i="7"/>
  <c r="CU6" i="7"/>
  <c r="CU14" i="7"/>
  <c r="DA52" i="8"/>
  <c r="DA51" i="8"/>
  <c r="DA26" i="8"/>
  <c r="CU50" i="8"/>
  <c r="CU49" i="8"/>
  <c r="CU27" i="8"/>
  <c r="CU28" i="8"/>
  <c r="CU25" i="8"/>
  <c r="DA34" i="8"/>
  <c r="DA33" i="8"/>
  <c r="DA32" i="8"/>
  <c r="DA31" i="8"/>
  <c r="DA30" i="8"/>
  <c r="CU30" i="8"/>
  <c r="DA29" i="8"/>
  <c r="DA25" i="8"/>
  <c r="DA7" i="8"/>
  <c r="DA14" i="8"/>
  <c r="CU29" i="8"/>
  <c r="CU26" i="8"/>
  <c r="DA28" i="8"/>
  <c r="DA27" i="8"/>
  <c r="CX27" i="8"/>
  <c r="CX26" i="8"/>
  <c r="CX18" i="8"/>
  <c r="CX21" i="8"/>
  <c r="CX13" i="8"/>
  <c r="CU13" i="8"/>
  <c r="CU12" i="8"/>
  <c r="CU11" i="8"/>
  <c r="DA12" i="8"/>
  <c r="CX12" i="8"/>
  <c r="CX11" i="8"/>
  <c r="DA11" i="8"/>
  <c r="DA10" i="8"/>
  <c r="CX10" i="8"/>
  <c r="B18" i="8"/>
  <c r="CU10" i="8"/>
  <c r="DA9" i="8"/>
  <c r="CU9" i="8"/>
  <c r="DA8" i="8"/>
  <c r="DA15" i="8"/>
  <c r="CU8" i="8"/>
  <c r="CU16" i="8"/>
  <c r="CX7" i="8"/>
  <c r="CU7" i="8"/>
  <c r="DA6" i="8"/>
  <c r="CX6" i="8"/>
  <c r="CX22" i="8"/>
  <c r="CU6" i="8"/>
  <c r="CU14" i="8"/>
  <c r="DA52" i="6"/>
  <c r="DA51" i="6"/>
  <c r="DA27" i="6"/>
  <c r="DA28" i="6"/>
  <c r="DA24" i="6"/>
  <c r="DA6" i="6"/>
  <c r="DA13" i="6"/>
  <c r="CU50" i="6"/>
  <c r="CU49" i="6"/>
  <c r="CU27" i="6"/>
  <c r="CU28" i="6"/>
  <c r="CU25" i="6"/>
  <c r="DA34" i="6"/>
  <c r="DA33" i="6"/>
  <c r="DA32" i="6"/>
  <c r="DA31" i="6"/>
  <c r="DA30" i="6"/>
  <c r="CU30" i="6"/>
  <c r="DA29" i="6"/>
  <c r="DA25" i="6"/>
  <c r="DA7" i="6"/>
  <c r="DA14" i="6"/>
  <c r="CU29" i="6"/>
  <c r="CU26" i="6"/>
  <c r="CX27" i="6"/>
  <c r="DA26" i="6"/>
  <c r="CX26" i="6"/>
  <c r="CX18" i="6"/>
  <c r="CX21" i="6"/>
  <c r="CX13" i="6"/>
  <c r="CU13" i="6"/>
  <c r="CU12" i="6"/>
  <c r="CU11" i="6"/>
  <c r="DA12" i="6"/>
  <c r="CX12" i="6"/>
  <c r="CX11" i="6"/>
  <c r="DA11" i="6"/>
  <c r="DA10" i="6"/>
  <c r="CX10" i="6"/>
  <c r="CX20" i="6"/>
  <c r="B18" i="6"/>
  <c r="CU10" i="6"/>
  <c r="DA9" i="6"/>
  <c r="CU9" i="6"/>
  <c r="DA8" i="6"/>
  <c r="DA15" i="6"/>
  <c r="CU8" i="6"/>
  <c r="CU16" i="6"/>
  <c r="CX7" i="6"/>
  <c r="CU7" i="6"/>
  <c r="CU15" i="6"/>
  <c r="CX6" i="6"/>
  <c r="CX22" i="6"/>
  <c r="CU6" i="6"/>
  <c r="B29" i="6"/>
  <c r="CO5" i="6"/>
  <c r="CR5" i="6"/>
  <c r="E35" i="6"/>
  <c r="CL6" i="6"/>
  <c r="CF8" i="6"/>
  <c r="CF7" i="6"/>
  <c r="CO7" i="6"/>
  <c r="CC8" i="6"/>
  <c r="CC7" i="6"/>
  <c r="CI8" i="6"/>
  <c r="CI7" i="6"/>
  <c r="CO8" i="6"/>
  <c r="CO6" i="6"/>
  <c r="CC14" i="6"/>
  <c r="CF14" i="6"/>
  <c r="CI14" i="6"/>
  <c r="B29" i="8"/>
  <c r="CO5" i="8"/>
  <c r="CR5" i="8"/>
  <c r="E35" i="8"/>
  <c r="CL6" i="8"/>
  <c r="CO7" i="8"/>
  <c r="CC8" i="8"/>
  <c r="CC7" i="8"/>
  <c r="CF8" i="8"/>
  <c r="CF7" i="8"/>
  <c r="CI8" i="8"/>
  <c r="CI7" i="8"/>
  <c r="CO8" i="8"/>
  <c r="CO6" i="8"/>
  <c r="CC14" i="8"/>
  <c r="CF14" i="8"/>
  <c r="CI14" i="8"/>
  <c r="B29" i="7"/>
  <c r="CO5" i="7"/>
  <c r="CR5" i="7"/>
  <c r="E35" i="7"/>
  <c r="CL6" i="7"/>
  <c r="CO7" i="7"/>
  <c r="CC8" i="7"/>
  <c r="CC7" i="7"/>
  <c r="CF8" i="7"/>
  <c r="CF7" i="7"/>
  <c r="CI8" i="7"/>
  <c r="CI7" i="7"/>
  <c r="CO8" i="7"/>
  <c r="CO6" i="7"/>
  <c r="CC14" i="7"/>
  <c r="CF14" i="7"/>
  <c r="CI14" i="7"/>
  <c r="BZ38" i="7"/>
  <c r="BZ37" i="7"/>
  <c r="BW34" i="7"/>
  <c r="BW33" i="7"/>
  <c r="BT30" i="7"/>
  <c r="BT29" i="7"/>
  <c r="BW28" i="7"/>
  <c r="BZ21" i="7"/>
  <c r="BZ20" i="7"/>
  <c r="BZ19" i="7"/>
  <c r="E18" i="7"/>
  <c r="BT19" i="7"/>
  <c r="BT22" i="7"/>
  <c r="BZ18" i="7"/>
  <c r="BZ17" i="7"/>
  <c r="BZ16" i="7"/>
  <c r="BW16" i="7"/>
  <c r="BW13" i="7"/>
  <c r="BT13" i="7"/>
  <c r="BZ12" i="7"/>
  <c r="BZ11" i="7"/>
  <c r="BZ10" i="7"/>
  <c r="H8" i="7"/>
  <c r="BW8" i="7"/>
  <c r="BW12" i="7"/>
  <c r="BT12" i="7"/>
  <c r="BT11" i="7"/>
  <c r="E10" i="7"/>
  <c r="BT10" i="7"/>
  <c r="BT21" i="7"/>
  <c r="BZ9" i="7"/>
  <c r="BW9" i="7"/>
  <c r="BZ8" i="7"/>
  <c r="BZ7" i="7"/>
  <c r="BW7" i="7"/>
  <c r="BT7" i="7"/>
  <c r="BT6" i="7"/>
  <c r="BZ6" i="7"/>
  <c r="BZ13" i="7"/>
  <c r="H6" i="7"/>
  <c r="BW6" i="7"/>
  <c r="BW10" i="7"/>
  <c r="BZ38" i="8"/>
  <c r="BZ37" i="8"/>
  <c r="BW34" i="8"/>
  <c r="BW33" i="8"/>
  <c r="BT30" i="8"/>
  <c r="BT29" i="8"/>
  <c r="BW28" i="8"/>
  <c r="BZ21" i="8"/>
  <c r="BZ20" i="8"/>
  <c r="BZ19" i="8"/>
  <c r="E18" i="8"/>
  <c r="BT19" i="8"/>
  <c r="BT22" i="8"/>
  <c r="BZ18" i="8"/>
  <c r="BZ16" i="8"/>
  <c r="BZ17" i="8"/>
  <c r="BW16" i="8"/>
  <c r="BW13" i="8"/>
  <c r="BT13" i="8"/>
  <c r="BZ12" i="8"/>
  <c r="BZ11" i="8"/>
  <c r="BZ10" i="8"/>
  <c r="BT12" i="8"/>
  <c r="BT11" i="8"/>
  <c r="H6" i="8"/>
  <c r="BW6" i="8"/>
  <c r="BW10" i="8"/>
  <c r="E10" i="8"/>
  <c r="BT10" i="8"/>
  <c r="BZ9" i="8"/>
  <c r="BW9" i="8"/>
  <c r="BZ8" i="8"/>
  <c r="H8" i="8"/>
  <c r="BW8" i="8"/>
  <c r="BW12" i="8"/>
  <c r="BZ7" i="8"/>
  <c r="BZ14" i="8"/>
  <c r="BW7" i="8"/>
  <c r="BT7" i="8"/>
  <c r="BT6" i="8"/>
  <c r="BZ6" i="8"/>
  <c r="BZ13" i="8"/>
  <c r="BZ38" i="6"/>
  <c r="BZ37" i="6"/>
  <c r="BW34" i="6"/>
  <c r="BW33" i="6"/>
  <c r="BT30" i="6"/>
  <c r="BT29" i="6"/>
  <c r="BW28" i="6"/>
  <c r="E18" i="6"/>
  <c r="BT19" i="6"/>
  <c r="BT22" i="6"/>
  <c r="BZ21" i="6"/>
  <c r="BZ20" i="6"/>
  <c r="BZ19" i="6"/>
  <c r="BZ18" i="6"/>
  <c r="BZ17" i="6"/>
  <c r="BZ16" i="6"/>
  <c r="BW16" i="6"/>
  <c r="BW13" i="6"/>
  <c r="BT13" i="6"/>
  <c r="BZ12" i="6"/>
  <c r="BZ11" i="6"/>
  <c r="BZ10" i="6"/>
  <c r="BZ6" i="6"/>
  <c r="BZ13" i="6"/>
  <c r="H8" i="6"/>
  <c r="BW8" i="6"/>
  <c r="BW12" i="6"/>
  <c r="BT12" i="6"/>
  <c r="BT11" i="6"/>
  <c r="H6" i="6"/>
  <c r="BW6" i="6"/>
  <c r="BW10" i="6"/>
  <c r="E10" i="6"/>
  <c r="BT10" i="6"/>
  <c r="BT21" i="6"/>
  <c r="BZ9" i="6"/>
  <c r="BW9" i="6"/>
  <c r="BZ8" i="6"/>
  <c r="BZ7" i="6"/>
  <c r="BW7" i="6"/>
  <c r="BT7" i="6"/>
  <c r="BT6" i="6"/>
  <c r="BT24" i="6"/>
  <c r="BN34" i="7"/>
  <c r="BK34" i="7"/>
  <c r="BN33" i="7"/>
  <c r="BK33" i="7"/>
  <c r="AM33" i="7"/>
  <c r="AJ33" i="7"/>
  <c r="BE32" i="7"/>
  <c r="BB32" i="7"/>
  <c r="AV32" i="7"/>
  <c r="AS32" i="7"/>
  <c r="AM32" i="7"/>
  <c r="AJ32" i="7"/>
  <c r="BE31" i="7"/>
  <c r="BB31" i="7"/>
  <c r="AV31" i="7"/>
  <c r="AS31" i="7"/>
  <c r="AM30" i="7"/>
  <c r="AV30" i="7"/>
  <c r="BE30" i="7"/>
  <c r="AJ30" i="7"/>
  <c r="AS30" i="7"/>
  <c r="BB30" i="7"/>
  <c r="BN26" i="7"/>
  <c r="BK26" i="7"/>
  <c r="BN25" i="7"/>
  <c r="BK25" i="7"/>
  <c r="BE25" i="7"/>
  <c r="BB25" i="7"/>
  <c r="AV25" i="7"/>
  <c r="AS25" i="7"/>
  <c r="AM25" i="7"/>
  <c r="AJ25" i="7"/>
  <c r="BN24" i="7"/>
  <c r="BK24" i="7"/>
  <c r="BE24" i="7"/>
  <c r="BB24" i="7"/>
  <c r="AV24" i="7"/>
  <c r="AS24" i="7"/>
  <c r="AM24" i="7"/>
  <c r="AJ24" i="7"/>
  <c r="BN34" i="8"/>
  <c r="BK34" i="8"/>
  <c r="BN33" i="8"/>
  <c r="BK33" i="8"/>
  <c r="AM33" i="8"/>
  <c r="AJ33" i="8"/>
  <c r="BE32" i="8"/>
  <c r="BB32" i="8"/>
  <c r="AV32" i="8"/>
  <c r="AS32" i="8"/>
  <c r="AM32" i="8"/>
  <c r="AJ32" i="8"/>
  <c r="BE31" i="8"/>
  <c r="BB31" i="8"/>
  <c r="AV31" i="8"/>
  <c r="AS31" i="8"/>
  <c r="AM30" i="8"/>
  <c r="AV30" i="8"/>
  <c r="BE30" i="8"/>
  <c r="AJ30" i="8"/>
  <c r="AS30" i="8"/>
  <c r="BB30" i="8"/>
  <c r="BN26" i="8"/>
  <c r="BK26" i="8"/>
  <c r="BN25" i="8"/>
  <c r="BK25" i="8"/>
  <c r="BE25" i="8"/>
  <c r="BB25" i="8"/>
  <c r="AV25" i="8"/>
  <c r="AS25" i="8"/>
  <c r="AM25" i="8"/>
  <c r="AJ25" i="8"/>
  <c r="BN24" i="8"/>
  <c r="BK24" i="8"/>
  <c r="BE24" i="8"/>
  <c r="BB24" i="8"/>
  <c r="AV24" i="8"/>
  <c r="AS24" i="8"/>
  <c r="AM24" i="8"/>
  <c r="AJ24" i="8"/>
  <c r="BN34" i="6"/>
  <c r="BK34" i="6"/>
  <c r="BN33" i="6"/>
  <c r="BK33" i="6"/>
  <c r="AM33" i="6"/>
  <c r="AJ33" i="6"/>
  <c r="BE32" i="6"/>
  <c r="BB32" i="6"/>
  <c r="AV32" i="6"/>
  <c r="AS32" i="6"/>
  <c r="AM32" i="6"/>
  <c r="AJ32" i="6"/>
  <c r="BE31" i="6"/>
  <c r="BB31" i="6"/>
  <c r="AV31" i="6"/>
  <c r="AS31" i="6"/>
  <c r="AM30" i="6"/>
  <c r="AV30" i="6"/>
  <c r="BE30" i="6"/>
  <c r="AJ30" i="6"/>
  <c r="AS30" i="6"/>
  <c r="BB30" i="6"/>
  <c r="BN26" i="6"/>
  <c r="BK26" i="6"/>
  <c r="BN25" i="6"/>
  <c r="BK25" i="6"/>
  <c r="BE25" i="6"/>
  <c r="BB25" i="6"/>
  <c r="AV25" i="6"/>
  <c r="AS25" i="6"/>
  <c r="AM25" i="6"/>
  <c r="AJ25" i="6"/>
  <c r="BN24" i="6"/>
  <c r="BK24" i="6"/>
  <c r="BE24" i="6"/>
  <c r="BB24" i="6"/>
  <c r="AV24" i="6"/>
  <c r="AS24" i="6"/>
  <c r="AM24" i="6"/>
  <c r="AJ24" i="6"/>
  <c r="BQ16" i="7"/>
  <c r="BN16" i="7"/>
  <c r="BK16" i="7"/>
  <c r="AP16" i="7"/>
  <c r="AM16" i="7"/>
  <c r="AJ16" i="7"/>
  <c r="BQ15" i="7"/>
  <c r="BN15" i="7"/>
  <c r="BK15" i="7"/>
  <c r="BH15" i="7"/>
  <c r="BE15" i="7"/>
  <c r="BB15" i="7"/>
  <c r="AY15" i="7"/>
  <c r="AV15" i="7"/>
  <c r="AS15" i="7"/>
  <c r="AP15" i="7"/>
  <c r="AM15" i="7"/>
  <c r="AJ15" i="7"/>
  <c r="BH14" i="7"/>
  <c r="BE14" i="7"/>
  <c r="BB14" i="7"/>
  <c r="AY14" i="7"/>
  <c r="AV14" i="7"/>
  <c r="AS14" i="7"/>
  <c r="T13" i="7"/>
  <c r="AP13" i="7"/>
  <c r="AY13" i="7"/>
  <c r="BH13" i="7"/>
  <c r="Q13" i="7"/>
  <c r="AM13" i="7"/>
  <c r="AV13" i="7"/>
  <c r="BE13" i="7"/>
  <c r="AJ13" i="7"/>
  <c r="AS13" i="7"/>
  <c r="BQ9" i="7"/>
  <c r="BN9" i="7"/>
  <c r="BK9" i="7"/>
  <c r="BQ8" i="7"/>
  <c r="BN8" i="7"/>
  <c r="BK8" i="7"/>
  <c r="BH8" i="7"/>
  <c r="BE8" i="7"/>
  <c r="BB8" i="7"/>
  <c r="AY8" i="7"/>
  <c r="AV8" i="7"/>
  <c r="AS8" i="7"/>
  <c r="AP8" i="7"/>
  <c r="AM8" i="7"/>
  <c r="AJ8" i="7"/>
  <c r="BQ7" i="7"/>
  <c r="BN7" i="7"/>
  <c r="BK7" i="7"/>
  <c r="BH7" i="7"/>
  <c r="BE7" i="7"/>
  <c r="BB7" i="7"/>
  <c r="AY7" i="7"/>
  <c r="AV7" i="7"/>
  <c r="AS7" i="7"/>
  <c r="AP7" i="7"/>
  <c r="AM7" i="7"/>
  <c r="AJ7" i="7"/>
  <c r="BQ16" i="8"/>
  <c r="BN16" i="8"/>
  <c r="BK16" i="8"/>
  <c r="AP16" i="8"/>
  <c r="AM16" i="8"/>
  <c r="AJ16" i="8"/>
  <c r="BQ15" i="8"/>
  <c r="BN15" i="8"/>
  <c r="BK15" i="8"/>
  <c r="BH15" i="8"/>
  <c r="BE15" i="8"/>
  <c r="BB15" i="8"/>
  <c r="AY15" i="8"/>
  <c r="AV15" i="8"/>
  <c r="AS15" i="8"/>
  <c r="AP15" i="8"/>
  <c r="AM15" i="8"/>
  <c r="AJ15" i="8"/>
  <c r="BH14" i="8"/>
  <c r="BE14" i="8"/>
  <c r="BB14" i="8"/>
  <c r="AY14" i="8"/>
  <c r="AV14" i="8"/>
  <c r="AS14" i="8"/>
  <c r="T13" i="8"/>
  <c r="AP13" i="8"/>
  <c r="AY13" i="8"/>
  <c r="BH13" i="8"/>
  <c r="Q13" i="8"/>
  <c r="AM13" i="8"/>
  <c r="AV13" i="8"/>
  <c r="BE13" i="8"/>
  <c r="AJ13" i="8"/>
  <c r="AS13" i="8"/>
  <c r="BQ9" i="8"/>
  <c r="BN9" i="8"/>
  <c r="BK9" i="8"/>
  <c r="BQ8" i="8"/>
  <c r="BN8" i="8"/>
  <c r="BK8" i="8"/>
  <c r="BH8" i="8"/>
  <c r="BE8" i="8"/>
  <c r="BB8" i="8"/>
  <c r="AY8" i="8"/>
  <c r="AV8" i="8"/>
  <c r="AS8" i="8"/>
  <c r="AP8" i="8"/>
  <c r="AM8" i="8"/>
  <c r="AJ8" i="8"/>
  <c r="BQ7" i="8"/>
  <c r="BN7" i="8"/>
  <c r="BK7" i="8"/>
  <c r="BH7" i="8"/>
  <c r="BE7" i="8"/>
  <c r="BB7" i="8"/>
  <c r="AY7" i="8"/>
  <c r="AV7" i="8"/>
  <c r="AS7" i="8"/>
  <c r="AP7" i="8"/>
  <c r="AM7" i="8"/>
  <c r="AJ7" i="8"/>
  <c r="BQ16" i="6"/>
  <c r="BN16" i="6"/>
  <c r="BK16" i="6"/>
  <c r="AP16" i="6"/>
  <c r="AM16" i="6"/>
  <c r="AJ16" i="6"/>
  <c r="BQ15" i="6"/>
  <c r="BN15" i="6"/>
  <c r="BK15" i="6"/>
  <c r="BH15" i="6"/>
  <c r="BE15" i="6"/>
  <c r="BB15" i="6"/>
  <c r="AY15" i="6"/>
  <c r="AV15" i="6"/>
  <c r="AS15" i="6"/>
  <c r="AP15" i="6"/>
  <c r="AM15" i="6"/>
  <c r="AJ15" i="6"/>
  <c r="BH14" i="6"/>
  <c r="BE14" i="6"/>
  <c r="BB14" i="6"/>
  <c r="AY14" i="6"/>
  <c r="AV14" i="6"/>
  <c r="AS14" i="6"/>
  <c r="T13" i="6"/>
  <c r="AP13" i="6"/>
  <c r="AY13" i="6"/>
  <c r="BH13" i="6"/>
  <c r="Q13" i="6"/>
  <c r="AM13" i="6"/>
  <c r="AV13" i="6"/>
  <c r="BE13" i="6"/>
  <c r="AJ13" i="6"/>
  <c r="AS13" i="6"/>
  <c r="BQ9" i="6"/>
  <c r="BN9" i="6"/>
  <c r="BK9" i="6"/>
  <c r="BQ8" i="6"/>
  <c r="BN8" i="6"/>
  <c r="BK8" i="6"/>
  <c r="BH8" i="6"/>
  <c r="BE8" i="6"/>
  <c r="BB8" i="6"/>
  <c r="AY8" i="6"/>
  <c r="AV8" i="6"/>
  <c r="AS8" i="6"/>
  <c r="AP8" i="6"/>
  <c r="AM8" i="6"/>
  <c r="AJ8" i="6"/>
  <c r="BQ7" i="6"/>
  <c r="BN7" i="6"/>
  <c r="BK7" i="6"/>
  <c r="BH7" i="6"/>
  <c r="BE7" i="6"/>
  <c r="BB7" i="6"/>
  <c r="AY7" i="6"/>
  <c r="AV7" i="6"/>
  <c r="AS7" i="6"/>
  <c r="AP7" i="6"/>
  <c r="AM7" i="6"/>
  <c r="AJ7" i="6"/>
  <c r="B20" i="7"/>
  <c r="AG42" i="7"/>
  <c r="B19" i="7"/>
  <c r="AF41" i="7"/>
  <c r="AE40" i="7"/>
  <c r="AD40" i="7"/>
  <c r="AC40" i="7"/>
  <c r="AD33" i="7"/>
  <c r="AD32" i="7"/>
  <c r="AD35" i="7"/>
  <c r="AG33" i="7"/>
  <c r="AF33" i="7"/>
  <c r="AE33" i="7"/>
  <c r="AE32" i="7"/>
  <c r="AE35" i="7"/>
  <c r="AC33" i="7"/>
  <c r="AG32" i="7"/>
  <c r="AG35" i="7"/>
  <c r="AG9" i="7"/>
  <c r="AG8" i="7"/>
  <c r="AG37" i="7"/>
  <c r="AF32" i="7"/>
  <c r="AF35" i="7"/>
  <c r="AF24" i="7"/>
  <c r="AF20" i="7"/>
  <c r="AF8" i="7"/>
  <c r="AF28" i="7"/>
  <c r="AF38" i="7"/>
  <c r="AC32" i="7"/>
  <c r="AC35" i="7"/>
  <c r="AC9" i="7"/>
  <c r="AC37" i="7"/>
  <c r="AG29" i="7"/>
  <c r="AF29" i="7"/>
  <c r="AE29" i="7"/>
  <c r="AD29" i="7"/>
  <c r="AC29" i="7"/>
  <c r="AG28" i="7"/>
  <c r="AE28" i="7"/>
  <c r="AD28" i="7"/>
  <c r="AC28" i="7"/>
  <c r="AG24" i="7"/>
  <c r="AE24" i="7"/>
  <c r="AD24" i="7"/>
  <c r="AD20" i="7"/>
  <c r="AD38" i="7"/>
  <c r="AC24" i="7"/>
  <c r="AG23" i="7"/>
  <c r="AG40" i="7"/>
  <c r="AF23" i="7"/>
  <c r="AE23" i="7"/>
  <c r="AE39" i="7"/>
  <c r="AD23" i="7"/>
  <c r="AD39" i="7"/>
  <c r="AC23" i="7"/>
  <c r="AC39" i="7"/>
  <c r="AG20" i="7"/>
  <c r="AG39" i="7"/>
  <c r="AE20" i="7"/>
  <c r="AC20" i="7"/>
  <c r="AF9" i="7"/>
  <c r="AF37" i="7"/>
  <c r="AE9" i="7"/>
  <c r="AE37" i="7"/>
  <c r="AD9" i="7"/>
  <c r="AD37" i="7"/>
  <c r="B20" i="8"/>
  <c r="AG42" i="8"/>
  <c r="B19" i="8"/>
  <c r="AF41" i="8"/>
  <c r="AE40" i="8"/>
  <c r="AD40" i="8"/>
  <c r="AC40" i="8"/>
  <c r="AG33" i="8"/>
  <c r="AF33" i="8"/>
  <c r="AF32" i="8"/>
  <c r="AF35" i="8"/>
  <c r="AE33" i="8"/>
  <c r="AD33" i="8"/>
  <c r="AC33" i="8"/>
  <c r="AG32" i="8"/>
  <c r="AG35" i="8"/>
  <c r="AE32" i="8"/>
  <c r="AE35" i="8"/>
  <c r="AD32" i="8"/>
  <c r="AD35" i="8"/>
  <c r="AC32" i="8"/>
  <c r="AC35" i="8"/>
  <c r="AG29" i="8"/>
  <c r="AF29" i="8"/>
  <c r="AE29" i="8"/>
  <c r="AD29" i="8"/>
  <c r="AC29" i="8"/>
  <c r="AG28" i="8"/>
  <c r="AF28" i="8"/>
  <c r="AE28" i="8"/>
  <c r="AD28" i="8"/>
  <c r="AC28" i="8"/>
  <c r="AG24" i="8"/>
  <c r="AF24" i="8"/>
  <c r="AF20" i="8"/>
  <c r="AF8" i="8"/>
  <c r="AF38" i="8"/>
  <c r="AE24" i="8"/>
  <c r="AE20" i="8"/>
  <c r="AE38" i="8"/>
  <c r="AD24" i="8"/>
  <c r="AD20" i="8"/>
  <c r="AD38" i="8"/>
  <c r="AC24" i="8"/>
  <c r="AC20" i="8"/>
  <c r="AC38" i="8"/>
  <c r="AG23" i="8"/>
  <c r="AG8" i="8"/>
  <c r="AG40" i="8"/>
  <c r="AF23" i="8"/>
  <c r="AF39" i="8"/>
  <c r="AE23" i="8"/>
  <c r="AE39" i="8"/>
  <c r="AD23" i="8"/>
  <c r="AD39" i="8"/>
  <c r="AC23" i="8"/>
  <c r="AC39" i="8"/>
  <c r="AG20" i="8"/>
  <c r="AG9" i="8"/>
  <c r="AG37" i="8"/>
  <c r="AF9" i="8"/>
  <c r="AF37" i="8"/>
  <c r="AE9" i="8"/>
  <c r="AE37" i="8"/>
  <c r="AD9" i="8"/>
  <c r="AD37" i="8"/>
  <c r="AC9" i="8"/>
  <c r="AC37" i="8"/>
  <c r="B20" i="6"/>
  <c r="AG42" i="6"/>
  <c r="B19" i="6"/>
  <c r="AF41" i="6"/>
  <c r="AE40" i="6"/>
  <c r="AD40" i="6"/>
  <c r="AC40" i="6"/>
  <c r="AD33" i="6"/>
  <c r="AD32" i="6"/>
  <c r="AD35" i="6"/>
  <c r="AG33" i="6"/>
  <c r="AF33" i="6"/>
  <c r="AE33" i="6"/>
  <c r="AE32" i="6"/>
  <c r="AE35" i="6"/>
  <c r="AC33" i="6"/>
  <c r="AG32" i="6"/>
  <c r="AG35" i="6"/>
  <c r="AG9" i="6"/>
  <c r="AG8" i="6"/>
  <c r="AG37" i="6"/>
  <c r="AF32" i="6"/>
  <c r="AF35" i="6"/>
  <c r="AF24" i="6"/>
  <c r="AF20" i="6"/>
  <c r="AF8" i="6"/>
  <c r="AF28" i="6"/>
  <c r="AF38" i="6"/>
  <c r="AC32" i="6"/>
  <c r="AC35" i="6"/>
  <c r="AC9" i="6"/>
  <c r="AC37" i="6"/>
  <c r="AG29" i="6"/>
  <c r="AF29" i="6"/>
  <c r="AE29" i="6"/>
  <c r="AD29" i="6"/>
  <c r="AC29" i="6"/>
  <c r="AG28" i="6"/>
  <c r="AE28" i="6"/>
  <c r="AD28" i="6"/>
  <c r="AC28" i="6"/>
  <c r="AG24" i="6"/>
  <c r="AE24" i="6"/>
  <c r="AE20" i="6"/>
  <c r="AE38" i="6"/>
  <c r="AD24" i="6"/>
  <c r="AC24" i="6"/>
  <c r="AG23" i="6"/>
  <c r="AF23" i="6"/>
  <c r="AF39" i="6"/>
  <c r="AE23" i="6"/>
  <c r="AE39" i="6"/>
  <c r="AD23" i="6"/>
  <c r="AD39" i="6"/>
  <c r="AC23" i="6"/>
  <c r="AC39" i="6"/>
  <c r="AG20" i="6"/>
  <c r="AG39" i="6"/>
  <c r="AD20" i="6"/>
  <c r="AD38" i="6"/>
  <c r="AC20" i="6"/>
  <c r="AC38" i="6"/>
  <c r="AF9" i="6"/>
  <c r="AF37" i="6"/>
  <c r="AE9" i="6"/>
  <c r="AE37" i="6"/>
  <c r="AD9" i="6"/>
  <c r="AD37" i="6"/>
  <c r="Z35" i="7"/>
  <c r="Z29" i="7"/>
  <c r="Z40" i="7"/>
  <c r="W35" i="7"/>
  <c r="W38" i="7"/>
  <c r="Z34" i="7"/>
  <c r="W34" i="7"/>
  <c r="Z31" i="7"/>
  <c r="Z39" i="7"/>
  <c r="W31" i="7"/>
  <c r="W37" i="7"/>
  <c r="Z28" i="7"/>
  <c r="W28" i="7"/>
  <c r="Z27" i="7"/>
  <c r="Z38" i="7"/>
  <c r="W27" i="7"/>
  <c r="W40" i="7"/>
  <c r="Z35" i="8"/>
  <c r="Z29" i="8"/>
  <c r="Z40" i="8"/>
  <c r="W35" i="8"/>
  <c r="W38" i="8"/>
  <c r="Z34" i="8"/>
  <c r="W34" i="8"/>
  <c r="Z31" i="8"/>
  <c r="Z39" i="8"/>
  <c r="W31" i="8"/>
  <c r="W37" i="8"/>
  <c r="Z28" i="8"/>
  <c r="Z27" i="8"/>
  <c r="W28" i="8"/>
  <c r="W27" i="8"/>
  <c r="W40" i="8"/>
  <c r="Z35" i="6"/>
  <c r="Z29" i="6"/>
  <c r="Z40" i="6"/>
  <c r="W35" i="6"/>
  <c r="W38" i="6"/>
  <c r="Z34" i="6"/>
  <c r="W34" i="6"/>
  <c r="Z31" i="6"/>
  <c r="Z39" i="6"/>
  <c r="W31" i="6"/>
  <c r="W37" i="6"/>
  <c r="Z28" i="6"/>
  <c r="W28" i="6"/>
  <c r="Z27" i="6"/>
  <c r="Z38" i="6"/>
  <c r="W27" i="6"/>
  <c r="W40" i="6"/>
  <c r="Z14" i="7"/>
  <c r="Z17" i="7"/>
  <c r="W14" i="7"/>
  <c r="W17" i="7"/>
  <c r="Z13" i="7"/>
  <c r="W13" i="7"/>
  <c r="W10" i="7"/>
  <c r="W16" i="7"/>
  <c r="Z10" i="7"/>
  <c r="Z16" i="7"/>
  <c r="Z7" i="7"/>
  <c r="W7" i="7"/>
  <c r="W6" i="7"/>
  <c r="Z6" i="7"/>
  <c r="Z19" i="7"/>
  <c r="Z14" i="8"/>
  <c r="Z17" i="8"/>
  <c r="W14" i="8"/>
  <c r="W17" i="8"/>
  <c r="Z13" i="8"/>
  <c r="W13" i="8"/>
  <c r="Z10" i="8"/>
  <c r="Z16" i="8"/>
  <c r="W10" i="8"/>
  <c r="W16" i="8"/>
  <c r="Z7" i="8"/>
  <c r="Z6" i="8"/>
  <c r="W7" i="8"/>
  <c r="W6" i="8"/>
  <c r="W10" i="6"/>
  <c r="W13" i="6"/>
  <c r="W16" i="6"/>
  <c r="Z14" i="6"/>
  <c r="Z17" i="6"/>
  <c r="W14" i="6"/>
  <c r="W17" i="6"/>
  <c r="Z13" i="6"/>
  <c r="Z10" i="6"/>
  <c r="Z16" i="6"/>
  <c r="Z7" i="6"/>
  <c r="W7" i="6"/>
  <c r="W6" i="6"/>
  <c r="Z6" i="6"/>
  <c r="Z19" i="6"/>
  <c r="Q32" i="12"/>
  <c r="N32" i="12"/>
  <c r="Q30" i="12"/>
  <c r="N30" i="12"/>
  <c r="Q29" i="12"/>
  <c r="N29" i="12"/>
  <c r="Q25" i="12"/>
  <c r="N25" i="12"/>
  <c r="N24" i="12"/>
  <c r="Q24" i="12"/>
  <c r="Q32" i="11"/>
  <c r="N32" i="11"/>
  <c r="Q30" i="11"/>
  <c r="N30" i="11"/>
  <c r="Q29" i="11"/>
  <c r="N29" i="11"/>
  <c r="Q25" i="11"/>
  <c r="Q24" i="11"/>
  <c r="N25" i="11"/>
  <c r="N24" i="11"/>
  <c r="Q32" i="10"/>
  <c r="N32" i="10"/>
  <c r="Q30" i="10"/>
  <c r="N30" i="10"/>
  <c r="Q29" i="10"/>
  <c r="N29" i="10"/>
  <c r="Q25" i="10"/>
  <c r="N25" i="10"/>
  <c r="Q24" i="10"/>
  <c r="N24" i="10"/>
  <c r="T15" i="12"/>
  <c r="Q15" i="12"/>
  <c r="N15" i="12"/>
  <c r="T13" i="12"/>
  <c r="Q13" i="12"/>
  <c r="N13" i="12"/>
  <c r="T12" i="12"/>
  <c r="Q12" i="12"/>
  <c r="N12" i="12"/>
  <c r="T8" i="12"/>
  <c r="Q8" i="12"/>
  <c r="Q7" i="12"/>
  <c r="N8" i="12"/>
  <c r="T7" i="12"/>
  <c r="N7" i="12"/>
  <c r="T15" i="11"/>
  <c r="Q15" i="11"/>
  <c r="N15" i="11"/>
  <c r="T13" i="11"/>
  <c r="Q13" i="11"/>
  <c r="N13" i="11"/>
  <c r="T12" i="11"/>
  <c r="Q12" i="11"/>
  <c r="N12" i="11"/>
  <c r="T8" i="11"/>
  <c r="T7" i="11"/>
  <c r="Q8" i="11"/>
  <c r="N8" i="11"/>
  <c r="Q7" i="11"/>
  <c r="N7" i="11"/>
  <c r="T15" i="10"/>
  <c r="Q15" i="10"/>
  <c r="N15" i="10"/>
  <c r="T13" i="10"/>
  <c r="Q13" i="10"/>
  <c r="N13" i="10"/>
  <c r="T12" i="10"/>
  <c r="Q12" i="10"/>
  <c r="N12" i="10"/>
  <c r="T8" i="10"/>
  <c r="T7" i="10"/>
  <c r="Q8" i="10"/>
  <c r="N8" i="10"/>
  <c r="N7" i="10"/>
  <c r="Q7" i="10"/>
  <c r="B60" i="12"/>
  <c r="K54" i="12"/>
  <c r="B59" i="12"/>
  <c r="K53" i="12"/>
  <c r="B40" i="12"/>
  <c r="K51" i="12"/>
  <c r="K49" i="12"/>
  <c r="K50" i="12"/>
  <c r="K44" i="12"/>
  <c r="K43" i="12"/>
  <c r="K30" i="12"/>
  <c r="K29" i="12"/>
  <c r="K28" i="12"/>
  <c r="K27" i="12"/>
  <c r="K26" i="12"/>
  <c r="K25" i="12"/>
  <c r="K18" i="12"/>
  <c r="K17" i="12"/>
  <c r="K24" i="12"/>
  <c r="K23" i="12"/>
  <c r="K22" i="12"/>
  <c r="K21" i="12"/>
  <c r="K20" i="12"/>
  <c r="K19" i="12"/>
  <c r="K13" i="12"/>
  <c r="K12" i="12"/>
  <c r="K11" i="12"/>
  <c r="K16" i="12"/>
  <c r="K10" i="12"/>
  <c r="B60" i="11"/>
  <c r="K54" i="11"/>
  <c r="B59" i="11"/>
  <c r="K53" i="11"/>
  <c r="B40" i="11"/>
  <c r="K51" i="11"/>
  <c r="K49" i="11"/>
  <c r="K50" i="11"/>
  <c r="K44" i="11"/>
  <c r="K43" i="11"/>
  <c r="K13" i="11"/>
  <c r="K12" i="11"/>
  <c r="K11" i="11"/>
  <c r="K16" i="11"/>
  <c r="K30" i="11"/>
  <c r="K29" i="11"/>
  <c r="K28" i="11"/>
  <c r="K27" i="11"/>
  <c r="K26" i="11"/>
  <c r="K25" i="11"/>
  <c r="K18" i="11"/>
  <c r="K17" i="11"/>
  <c r="K24" i="11"/>
  <c r="K23" i="11"/>
  <c r="K20" i="11"/>
  <c r="K10" i="11"/>
  <c r="K15" i="11"/>
  <c r="K22" i="11"/>
  <c r="K21" i="11"/>
  <c r="K19" i="11"/>
  <c r="K14" i="11"/>
  <c r="B60" i="10"/>
  <c r="K54" i="10"/>
  <c r="B59" i="10"/>
  <c r="K53" i="10"/>
  <c r="B40" i="10"/>
  <c r="K51" i="10"/>
  <c r="K49" i="10"/>
  <c r="K50" i="10"/>
  <c r="K44" i="10"/>
  <c r="K43" i="10"/>
  <c r="K30" i="10"/>
  <c r="K29" i="10"/>
  <c r="K28" i="10"/>
  <c r="K27" i="10"/>
  <c r="K26" i="10"/>
  <c r="K25" i="10"/>
  <c r="K18" i="10"/>
  <c r="K17" i="10"/>
  <c r="K24" i="10"/>
  <c r="K23" i="10"/>
  <c r="K20" i="10"/>
  <c r="K22" i="10"/>
  <c r="K21" i="10"/>
  <c r="K19" i="10"/>
  <c r="K13" i="10"/>
  <c r="K12" i="10"/>
  <c r="K11" i="10"/>
  <c r="K14" i="10"/>
  <c r="K16" i="10"/>
  <c r="K10" i="10"/>
  <c r="H71" i="12"/>
  <c r="H70" i="12"/>
  <c r="H69" i="12"/>
  <c r="H65" i="12"/>
  <c r="B41" i="12"/>
  <c r="H68" i="12"/>
  <c r="H55" i="12"/>
  <c r="H48" i="12"/>
  <c r="H46" i="12"/>
  <c r="H47" i="12"/>
  <c r="H40" i="12"/>
  <c r="H27" i="12"/>
  <c r="H26" i="12"/>
  <c r="H25" i="12"/>
  <c r="H24" i="12"/>
  <c r="H23" i="12"/>
  <c r="H22" i="12"/>
  <c r="H21" i="12"/>
  <c r="H20" i="12"/>
  <c r="H19" i="12"/>
  <c r="H18" i="12"/>
  <c r="H17" i="12"/>
  <c r="H15" i="12"/>
  <c r="H16" i="12"/>
  <c r="H9" i="12"/>
  <c r="H12" i="12"/>
  <c r="H7" i="12"/>
  <c r="H11" i="12"/>
  <c r="H10" i="12"/>
  <c r="H71" i="11"/>
  <c r="H70" i="11"/>
  <c r="H69" i="11"/>
  <c r="H65" i="11"/>
  <c r="B41" i="11"/>
  <c r="H68" i="11"/>
  <c r="H55" i="11"/>
  <c r="H48" i="11"/>
  <c r="H47" i="11"/>
  <c r="H46" i="11"/>
  <c r="H40" i="11"/>
  <c r="H27" i="11"/>
  <c r="H26" i="11"/>
  <c r="H25" i="11"/>
  <c r="H24" i="11"/>
  <c r="H23" i="11"/>
  <c r="H22" i="11"/>
  <c r="H21" i="11"/>
  <c r="H20" i="11"/>
  <c r="H19" i="11"/>
  <c r="H18" i="11"/>
  <c r="H17" i="11"/>
  <c r="H15" i="11"/>
  <c r="H16" i="11"/>
  <c r="H9" i="11"/>
  <c r="H14" i="11"/>
  <c r="H12" i="11"/>
  <c r="H7" i="11"/>
  <c r="H11" i="11"/>
  <c r="H10" i="11"/>
  <c r="H71" i="10"/>
  <c r="H70" i="10"/>
  <c r="H69" i="10"/>
  <c r="B41" i="10"/>
  <c r="H68" i="10"/>
  <c r="H65" i="10"/>
  <c r="H61" i="10"/>
  <c r="H52" i="10"/>
  <c r="H55" i="10"/>
  <c r="H48" i="10"/>
  <c r="H47" i="10"/>
  <c r="H46" i="10"/>
  <c r="H40" i="10"/>
  <c r="H27" i="10"/>
  <c r="H26" i="10"/>
  <c r="H25" i="10"/>
  <c r="H24" i="10"/>
  <c r="H23" i="10"/>
  <c r="H22" i="10"/>
  <c r="H21" i="10"/>
  <c r="H20" i="10"/>
  <c r="H19" i="10"/>
  <c r="H18" i="10"/>
  <c r="H17" i="10"/>
  <c r="H15" i="10"/>
  <c r="H16" i="10"/>
  <c r="H9" i="10"/>
  <c r="H14" i="10"/>
  <c r="H12" i="10"/>
  <c r="H7" i="10"/>
  <c r="H11" i="10"/>
  <c r="H10" i="10"/>
  <c r="E27" i="12"/>
  <c r="E26" i="12"/>
  <c r="E19" i="12"/>
  <c r="E18" i="12"/>
  <c r="E21" i="12"/>
  <c r="E13" i="12"/>
  <c r="E12" i="12"/>
  <c r="E11" i="12"/>
  <c r="E20" i="12"/>
  <c r="E6" i="12"/>
  <c r="E27" i="11"/>
  <c r="E26" i="11"/>
  <c r="E19" i="11"/>
  <c r="E18" i="11"/>
  <c r="E21" i="11"/>
  <c r="E13" i="11"/>
  <c r="E12" i="11"/>
  <c r="E11" i="11"/>
  <c r="E6" i="11"/>
  <c r="E23" i="11"/>
  <c r="E27" i="10"/>
  <c r="E26" i="10"/>
  <c r="E19" i="10"/>
  <c r="E18" i="10"/>
  <c r="E21" i="10"/>
  <c r="E13" i="10"/>
  <c r="E12" i="10"/>
  <c r="E11" i="10"/>
  <c r="E20" i="10"/>
  <c r="E6" i="10"/>
  <c r="E23" i="10"/>
  <c r="E12" i="9"/>
  <c r="B59" i="9"/>
  <c r="E26" i="9"/>
  <c r="E13" i="9"/>
  <c r="B60" i="9"/>
  <c r="E27" i="9"/>
  <c r="E11" i="9"/>
  <c r="K21" i="9"/>
  <c r="K22" i="9"/>
  <c r="K23" i="9"/>
  <c r="K53" i="9"/>
  <c r="K24" i="9"/>
  <c r="K54" i="9"/>
  <c r="K20" i="9"/>
  <c r="K26" i="9"/>
  <c r="K27" i="9"/>
  <c r="K25" i="9"/>
  <c r="K29" i="7"/>
  <c r="B47" i="7"/>
  <c r="K53" i="7"/>
  <c r="K30" i="7"/>
  <c r="B48" i="7"/>
  <c r="K54" i="7"/>
  <c r="K28" i="7"/>
  <c r="K27" i="7"/>
  <c r="K26" i="7"/>
  <c r="K25" i="7"/>
  <c r="K24" i="7"/>
  <c r="K23" i="7"/>
  <c r="K22" i="7"/>
  <c r="K21" i="7"/>
  <c r="K19" i="7"/>
  <c r="K20" i="7"/>
  <c r="K29" i="8"/>
  <c r="B47" i="8"/>
  <c r="K53" i="8"/>
  <c r="K30" i="8"/>
  <c r="B48" i="8"/>
  <c r="K54" i="8"/>
  <c r="K28" i="8"/>
  <c r="K27" i="8"/>
  <c r="K26" i="8"/>
  <c r="K25" i="8"/>
  <c r="K24" i="8"/>
  <c r="K23" i="8"/>
  <c r="K22" i="8"/>
  <c r="K21" i="8"/>
  <c r="K19" i="8"/>
  <c r="K20" i="8"/>
  <c r="K29" i="6"/>
  <c r="B47" i="6"/>
  <c r="K53" i="6"/>
  <c r="K30" i="6"/>
  <c r="B48" i="6"/>
  <c r="K54" i="6"/>
  <c r="K28" i="6"/>
  <c r="K27" i="6"/>
  <c r="K26" i="6"/>
  <c r="K25" i="6"/>
  <c r="K24" i="6"/>
  <c r="K23" i="6"/>
  <c r="K22" i="6"/>
  <c r="K21" i="6"/>
  <c r="K19" i="6"/>
  <c r="K20" i="6"/>
  <c r="H17" i="9"/>
  <c r="H18" i="9"/>
  <c r="H19" i="9"/>
  <c r="H70" i="9"/>
  <c r="H20" i="9"/>
  <c r="H71" i="9"/>
  <c r="H16" i="9"/>
  <c r="H23" i="9"/>
  <c r="H24" i="9"/>
  <c r="H22" i="9"/>
  <c r="H24" i="7"/>
  <c r="H23" i="7"/>
  <c r="H24" i="8"/>
  <c r="H23" i="8"/>
  <c r="H26" i="6"/>
  <c r="H70" i="6"/>
  <c r="H27" i="6"/>
  <c r="H71" i="6"/>
  <c r="H25" i="6"/>
  <c r="H24" i="6"/>
  <c r="H23" i="6"/>
  <c r="H22" i="6"/>
  <c r="H21" i="6"/>
  <c r="E12" i="7"/>
  <c r="E26" i="7"/>
  <c r="E13" i="7"/>
  <c r="E27" i="7"/>
  <c r="E11" i="7"/>
  <c r="E12" i="8"/>
  <c r="E26" i="8"/>
  <c r="E13" i="8"/>
  <c r="E27" i="8"/>
  <c r="E11" i="8"/>
  <c r="H19" i="6"/>
  <c r="H20" i="6"/>
  <c r="H16" i="6"/>
  <c r="H17" i="6"/>
  <c r="H18" i="6"/>
  <c r="H15" i="6"/>
  <c r="E12" i="6"/>
  <c r="E26" i="6"/>
  <c r="E13" i="6"/>
  <c r="E27" i="6"/>
  <c r="E11" i="6"/>
  <c r="K19" i="9"/>
  <c r="H21" i="9"/>
  <c r="H70" i="7"/>
  <c r="H71" i="7"/>
  <c r="H71" i="8"/>
  <c r="H70" i="8"/>
  <c r="E40" i="6"/>
  <c r="B47" i="1"/>
  <c r="E26" i="1"/>
  <c r="E39" i="6"/>
  <c r="E7" i="1"/>
  <c r="E6" i="1"/>
  <c r="BW33" i="1"/>
  <c r="BW34" i="1"/>
  <c r="BW16" i="1"/>
  <c r="BW13" i="1"/>
  <c r="BT12" i="1"/>
  <c r="BT29" i="1"/>
  <c r="BT13" i="1"/>
  <c r="BT30" i="1"/>
  <c r="BT11" i="1"/>
  <c r="BZ20" i="1"/>
  <c r="BZ37" i="1"/>
  <c r="BZ21" i="1"/>
  <c r="BZ38" i="1"/>
  <c r="BZ17" i="1"/>
  <c r="BZ18" i="1"/>
  <c r="BZ19" i="1"/>
  <c r="BZ16" i="1"/>
  <c r="GP9" i="1"/>
  <c r="B49" i="1"/>
  <c r="GP18" i="1"/>
  <c r="GP10" i="1"/>
  <c r="B50" i="1"/>
  <c r="GP19" i="1"/>
  <c r="GP8" i="1"/>
  <c r="DS9" i="1"/>
  <c r="DS19" i="1"/>
  <c r="DS10" i="1"/>
  <c r="DS20" i="1"/>
  <c r="DS8" i="1"/>
  <c r="EH9" i="1"/>
  <c r="EH19" i="1"/>
  <c r="EH10" i="1"/>
  <c r="EH20" i="1"/>
  <c r="EH8" i="1"/>
  <c r="FL9" i="1"/>
  <c r="FL19" i="1"/>
  <c r="FL10" i="1"/>
  <c r="FL20" i="1"/>
  <c r="FL8" i="1"/>
  <c r="GA9" i="1"/>
  <c r="GA19" i="1"/>
  <c r="GA10" i="1"/>
  <c r="GA20" i="1"/>
  <c r="GA8" i="1"/>
  <c r="EW9" i="1"/>
  <c r="EW19" i="1"/>
  <c r="EW10" i="1"/>
  <c r="EW20" i="1"/>
  <c r="EW8" i="1"/>
  <c r="DD9" i="1"/>
  <c r="DD22" i="1"/>
  <c r="DD10" i="1"/>
  <c r="DD23" i="1"/>
  <c r="DD8" i="1"/>
  <c r="DD13" i="1"/>
  <c r="DD12" i="1"/>
  <c r="K53" i="1"/>
  <c r="B48" i="1"/>
  <c r="H71" i="1"/>
  <c r="CU49" i="1"/>
  <c r="GP7" i="11"/>
  <c r="GA7" i="12"/>
  <c r="GA7" i="10"/>
  <c r="FL7" i="12"/>
  <c r="FL7" i="11"/>
  <c r="FL7" i="10"/>
  <c r="DS7" i="12"/>
  <c r="DD7" i="10"/>
  <c r="CU15" i="12"/>
  <c r="CU14" i="12"/>
  <c r="DA13" i="12"/>
  <c r="CU16" i="12"/>
  <c r="CX22" i="12"/>
  <c r="CU15" i="11"/>
  <c r="CX22" i="11"/>
  <c r="CX23" i="11"/>
  <c r="CU14" i="11"/>
  <c r="DA13" i="11"/>
  <c r="CU16" i="11"/>
  <c r="CX23" i="10"/>
  <c r="BT24" i="12"/>
  <c r="BT23" i="12"/>
  <c r="BT23" i="11"/>
  <c r="BZ14" i="10"/>
  <c r="BZ13" i="10"/>
  <c r="BT24" i="10"/>
  <c r="BT23" i="10"/>
  <c r="BZ15" i="10"/>
  <c r="BT24" i="9"/>
  <c r="BT23" i="9"/>
  <c r="BW13" i="9"/>
  <c r="BW10" i="9"/>
  <c r="AG40" i="12"/>
  <c r="AG39" i="12"/>
  <c r="AF38" i="10"/>
  <c r="AG39" i="10"/>
  <c r="W37" i="12"/>
  <c r="Z37" i="12"/>
  <c r="W38" i="12"/>
  <c r="W40" i="11"/>
  <c r="W39" i="11"/>
  <c r="Z37" i="11"/>
  <c r="W37" i="10"/>
  <c r="Z37" i="10"/>
  <c r="W19" i="12"/>
  <c r="W18" i="12"/>
  <c r="Z18" i="12"/>
  <c r="W19" i="11"/>
  <c r="W18" i="11"/>
  <c r="Z18" i="11"/>
  <c r="W18" i="10"/>
  <c r="Z18" i="10"/>
  <c r="GP7" i="7"/>
  <c r="GP7" i="6"/>
  <c r="FL7" i="7"/>
  <c r="FL7" i="8"/>
  <c r="FL7" i="6"/>
  <c r="EW7" i="8"/>
  <c r="EH7" i="7"/>
  <c r="EH7" i="8"/>
  <c r="DD7" i="7"/>
  <c r="DD11" i="6"/>
  <c r="DD7" i="6"/>
  <c r="CX20" i="7"/>
  <c r="CX23" i="7"/>
  <c r="CU15" i="8"/>
  <c r="CX20" i="8"/>
  <c r="DA24" i="8"/>
  <c r="DA13" i="8"/>
  <c r="CX23" i="8"/>
  <c r="CU14" i="6"/>
  <c r="CX23" i="6"/>
  <c r="BZ14" i="7"/>
  <c r="BT23" i="7"/>
  <c r="BT24" i="7"/>
  <c r="BZ15" i="7"/>
  <c r="BT21" i="8"/>
  <c r="BT23" i="8"/>
  <c r="BT24" i="8"/>
  <c r="BZ15" i="8"/>
  <c r="BZ14" i="6"/>
  <c r="BZ15" i="6"/>
  <c r="BT23" i="6"/>
  <c r="AC38" i="7"/>
  <c r="AF39" i="7"/>
  <c r="AE38" i="7"/>
  <c r="AG39" i="8"/>
  <c r="AG40" i="6"/>
  <c r="W39" i="7"/>
  <c r="Z37" i="7"/>
  <c r="Z38" i="8"/>
  <c r="Z37" i="8"/>
  <c r="W39" i="8"/>
  <c r="W39" i="6"/>
  <c r="Z37" i="6"/>
  <c r="W19" i="7"/>
  <c r="W18" i="7"/>
  <c r="Z18" i="7"/>
  <c r="W19" i="8"/>
  <c r="W18" i="8"/>
  <c r="Z19" i="8"/>
  <c r="Z18" i="8"/>
  <c r="W19" i="6"/>
  <c r="W18" i="6"/>
  <c r="Z18" i="6"/>
  <c r="K15" i="12"/>
  <c r="K14" i="12"/>
  <c r="K15" i="10"/>
  <c r="H14" i="12"/>
  <c r="H61" i="12"/>
  <c r="H52" i="12"/>
  <c r="H56" i="12"/>
  <c r="H51" i="12"/>
  <c r="H50" i="12"/>
  <c r="H56" i="11"/>
  <c r="H61" i="11"/>
  <c r="H52" i="11"/>
  <c r="H56" i="10"/>
  <c r="E22" i="12"/>
  <c r="E23" i="12"/>
  <c r="E20" i="11"/>
  <c r="E22" i="11"/>
  <c r="E22" i="10"/>
  <c r="H15" i="9"/>
  <c r="DA51" i="1"/>
  <c r="CX26" i="1"/>
  <c r="CU50" i="1"/>
  <c r="DA52" i="1"/>
  <c r="CX27" i="1"/>
  <c r="E27" i="1"/>
  <c r="K54" i="1"/>
  <c r="H70" i="1"/>
  <c r="H21" i="1"/>
  <c r="BZ8" i="1"/>
  <c r="BZ7" i="1"/>
  <c r="BZ6" i="1"/>
  <c r="B40" i="9"/>
  <c r="B41" i="9"/>
  <c r="B28" i="7"/>
  <c r="B28" i="8"/>
  <c r="B28" i="6"/>
  <c r="CO20" i="6"/>
  <c r="CO23" i="7"/>
  <c r="CO22" i="7"/>
  <c r="CO21" i="7"/>
  <c r="CO20" i="7"/>
  <c r="CO23" i="8"/>
  <c r="CO22" i="8"/>
  <c r="CO21" i="8"/>
  <c r="CO20" i="8"/>
  <c r="CO23" i="6"/>
  <c r="CO22" i="6"/>
  <c r="CO21" i="6"/>
  <c r="CO5" i="9"/>
  <c r="CO6" i="9"/>
  <c r="CO7" i="9"/>
  <c r="CO5" i="10"/>
  <c r="CO6" i="10"/>
  <c r="CO7" i="10"/>
  <c r="CO5" i="11"/>
  <c r="CO6" i="11"/>
  <c r="CO7" i="11"/>
  <c r="CP34" i="1"/>
  <c r="CO20" i="1"/>
  <c r="CO23" i="1"/>
  <c r="CO8" i="1"/>
  <c r="CO5" i="1"/>
  <c r="CC29" i="8"/>
  <c r="CC29" i="7"/>
  <c r="CF29" i="7"/>
  <c r="H13" i="12"/>
  <c r="H51" i="11"/>
  <c r="H50" i="11"/>
  <c r="H13" i="11"/>
  <c r="H51" i="10"/>
  <c r="H50" i="10"/>
  <c r="H13" i="10"/>
  <c r="DA26" i="1"/>
  <c r="BB32" i="1"/>
  <c r="E10" i="1"/>
  <c r="CC29" i="9"/>
  <c r="CF29" i="9"/>
  <c r="CI14" i="9"/>
  <c r="CF14" i="9"/>
  <c r="CC14" i="9"/>
  <c r="BK34" i="9"/>
  <c r="BN34" i="9"/>
  <c r="BQ16" i="9"/>
  <c r="BN16" i="9"/>
  <c r="BK16" i="9"/>
  <c r="BB32" i="9"/>
  <c r="BE32" i="9"/>
  <c r="BH15" i="9"/>
  <c r="BE15" i="9"/>
  <c r="BB15" i="9"/>
  <c r="AS32" i="9"/>
  <c r="AV32" i="9"/>
  <c r="AY15" i="9"/>
  <c r="AV15" i="9"/>
  <c r="AS15" i="9"/>
  <c r="AM32" i="9"/>
  <c r="AJ32" i="9"/>
  <c r="AP15" i="9"/>
  <c r="AM15" i="9"/>
  <c r="AJ15" i="9"/>
  <c r="N32" i="9"/>
  <c r="Q32" i="9"/>
  <c r="T15" i="9"/>
  <c r="Q15" i="9"/>
  <c r="N15" i="9"/>
  <c r="CF29" i="8"/>
  <c r="CF29" i="6"/>
  <c r="CC29" i="6"/>
  <c r="Q32" i="7"/>
  <c r="N32" i="7"/>
  <c r="Q32" i="8"/>
  <c r="N32" i="8"/>
  <c r="Q32" i="6"/>
  <c r="N32" i="6"/>
  <c r="T15" i="7"/>
  <c r="Q15" i="7"/>
  <c r="N15" i="7"/>
  <c r="T15" i="8"/>
  <c r="Q15" i="8"/>
  <c r="N15" i="8"/>
  <c r="T15" i="6"/>
  <c r="Q15" i="6"/>
  <c r="N15" i="6"/>
  <c r="CC3" i="6"/>
  <c r="CC29" i="1"/>
  <c r="CF29" i="1"/>
  <c r="CI14" i="1"/>
  <c r="CF14" i="1"/>
  <c r="CC14" i="1"/>
  <c r="BK34" i="1"/>
  <c r="BN34" i="1"/>
  <c r="BQ16" i="1"/>
  <c r="BN16" i="1"/>
  <c r="BE32" i="1"/>
  <c r="BH15" i="1"/>
  <c r="BE15" i="1"/>
  <c r="AV32" i="1"/>
  <c r="AY15" i="1"/>
  <c r="AV15" i="1"/>
  <c r="AM32" i="1"/>
  <c r="AP15" i="1"/>
  <c r="AM15" i="1"/>
  <c r="Q32" i="1"/>
  <c r="T15" i="1"/>
  <c r="Q15" i="1"/>
  <c r="N15" i="1"/>
  <c r="AJ32" i="1"/>
  <c r="N32" i="1"/>
  <c r="AS32" i="1"/>
  <c r="E50" i="12"/>
  <c r="E48" i="12"/>
  <c r="E46" i="12"/>
  <c r="E52" i="12"/>
  <c r="E42" i="12"/>
  <c r="E37" i="12"/>
  <c r="E38" i="12"/>
  <c r="E31" i="12"/>
  <c r="BN20" i="12"/>
  <c r="BK20" i="12"/>
  <c r="BE20" i="12"/>
  <c r="AS20" i="12"/>
  <c r="AM20" i="12"/>
  <c r="AJ20" i="12"/>
  <c r="Q20" i="12"/>
  <c r="N20" i="12"/>
  <c r="BB20" i="12"/>
  <c r="AV20" i="12"/>
  <c r="CF18" i="12"/>
  <c r="CC18" i="12"/>
  <c r="CO22" i="12"/>
  <c r="CO21" i="12"/>
  <c r="CL21" i="12"/>
  <c r="CL18" i="12"/>
  <c r="CO20" i="12"/>
  <c r="CR20" i="12"/>
  <c r="CR18" i="12"/>
  <c r="CI3" i="12"/>
  <c r="BQ3" i="12"/>
  <c r="BN3" i="12"/>
  <c r="BH3" i="12"/>
  <c r="BB3" i="12"/>
  <c r="AS3" i="12"/>
  <c r="AP3" i="12"/>
  <c r="AM3" i="12"/>
  <c r="AJ3" i="12"/>
  <c r="Q3" i="12"/>
  <c r="N3" i="12"/>
  <c r="CO7" i="12"/>
  <c r="BK3" i="12"/>
  <c r="BE3" i="12"/>
  <c r="AY3" i="12"/>
  <c r="T3" i="12"/>
  <c r="CO6" i="12"/>
  <c r="CO5" i="12"/>
  <c r="CR5" i="12"/>
  <c r="AV3" i="12"/>
  <c r="E50" i="11"/>
  <c r="E48" i="11"/>
  <c r="E46" i="11"/>
  <c r="E37" i="11"/>
  <c r="BE20" i="11"/>
  <c r="BB20" i="11"/>
  <c r="AV20" i="11"/>
  <c r="AS20" i="11"/>
  <c r="AM20" i="11"/>
  <c r="AJ20" i="11"/>
  <c r="Q20" i="11"/>
  <c r="BN20" i="11"/>
  <c r="BK20" i="11"/>
  <c r="CO22" i="11"/>
  <c r="CO21" i="11"/>
  <c r="CO20" i="11"/>
  <c r="CR20" i="11"/>
  <c r="N20" i="11"/>
  <c r="CF3" i="11"/>
  <c r="CC3" i="11"/>
  <c r="BE3" i="11"/>
  <c r="BB3" i="11"/>
  <c r="AY3" i="11"/>
  <c r="AV3" i="11"/>
  <c r="AS3" i="11"/>
  <c r="AP3" i="11"/>
  <c r="AM3" i="11"/>
  <c r="AJ3" i="11"/>
  <c r="T3" i="11"/>
  <c r="Q3" i="11"/>
  <c r="N3" i="11"/>
  <c r="BN3" i="11"/>
  <c r="BK3" i="11"/>
  <c r="BH3" i="11"/>
  <c r="CL6" i="11"/>
  <c r="CL3" i="11"/>
  <c r="CO3" i="11"/>
  <c r="CR5" i="11"/>
  <c r="E50" i="10"/>
  <c r="E48" i="10"/>
  <c r="E46" i="10"/>
  <c r="E37" i="10"/>
  <c r="CL6" i="10"/>
  <c r="CL3" i="10"/>
  <c r="BK20" i="10"/>
  <c r="BB20" i="10"/>
  <c r="AV20" i="10"/>
  <c r="AS20" i="10"/>
  <c r="AM20" i="10"/>
  <c r="AJ20" i="10"/>
  <c r="N20" i="10"/>
  <c r="BN20" i="10"/>
  <c r="BE20" i="10"/>
  <c r="Q20" i="10"/>
  <c r="CO22" i="10"/>
  <c r="CO21" i="10"/>
  <c r="CO20" i="10"/>
  <c r="CR20" i="10"/>
  <c r="CF3" i="10"/>
  <c r="BQ3" i="10"/>
  <c r="BH3" i="10"/>
  <c r="BB3" i="10"/>
  <c r="AV3" i="10"/>
  <c r="AS3" i="10"/>
  <c r="AP3" i="10"/>
  <c r="AJ3" i="10"/>
  <c r="T3" i="10"/>
  <c r="Q3" i="10"/>
  <c r="N3" i="10"/>
  <c r="CI3" i="10"/>
  <c r="CC3" i="10"/>
  <c r="BE3" i="10"/>
  <c r="AY3" i="10"/>
  <c r="AM3" i="10"/>
  <c r="CR5" i="10"/>
  <c r="BK32" i="9"/>
  <c r="BB30" i="9"/>
  <c r="AS30" i="9"/>
  <c r="AJ30" i="9"/>
  <c r="N30" i="9"/>
  <c r="CC27" i="9"/>
  <c r="BK31" i="9"/>
  <c r="BB29" i="9"/>
  <c r="AS29" i="9"/>
  <c r="AJ29" i="9"/>
  <c r="N29" i="9"/>
  <c r="CC26" i="9"/>
  <c r="BQ14" i="9"/>
  <c r="BH13" i="9"/>
  <c r="AY13" i="9"/>
  <c r="AP13" i="9"/>
  <c r="T13" i="9"/>
  <c r="CI12" i="9"/>
  <c r="BQ13" i="9"/>
  <c r="BH12" i="9"/>
  <c r="AY12" i="9"/>
  <c r="AP12" i="9"/>
  <c r="T12" i="9"/>
  <c r="CI11" i="9"/>
  <c r="BN32" i="9"/>
  <c r="BE30" i="9"/>
  <c r="AV30" i="9"/>
  <c r="AM30" i="9"/>
  <c r="Q30" i="9"/>
  <c r="CF27" i="9"/>
  <c r="BN31" i="9"/>
  <c r="BE29" i="9"/>
  <c r="AV29" i="9"/>
  <c r="AM29" i="9"/>
  <c r="Q29" i="9"/>
  <c r="CF26" i="9"/>
  <c r="BN14" i="9"/>
  <c r="BE13" i="9"/>
  <c r="AV13" i="9"/>
  <c r="AM13" i="9"/>
  <c r="Q13" i="9"/>
  <c r="CF12" i="9"/>
  <c r="BE12" i="9"/>
  <c r="AV12" i="9"/>
  <c r="AM12" i="9"/>
  <c r="Q12" i="9"/>
  <c r="CF11" i="9"/>
  <c r="BN13" i="9"/>
  <c r="BK13" i="9"/>
  <c r="BB12" i="9"/>
  <c r="AS12" i="9"/>
  <c r="AJ12" i="9"/>
  <c r="N12" i="9"/>
  <c r="CC11" i="9"/>
  <c r="BB13" i="9"/>
  <c r="BK14" i="9"/>
  <c r="AS13" i="9"/>
  <c r="AJ13" i="9"/>
  <c r="N13" i="9"/>
  <c r="CC12" i="9"/>
  <c r="CU43" i="9"/>
  <c r="Z36" i="9"/>
  <c r="W36" i="9"/>
  <c r="Z15" i="9"/>
  <c r="W15" i="9"/>
  <c r="CU44" i="9"/>
  <c r="K44" i="9"/>
  <c r="K43" i="9"/>
  <c r="AG22" i="9"/>
  <c r="AF22" i="9"/>
  <c r="AE22" i="9"/>
  <c r="AD22" i="9"/>
  <c r="AC22" i="9"/>
  <c r="CX19" i="9"/>
  <c r="AG19" i="9"/>
  <c r="AF19" i="9"/>
  <c r="AE19" i="9"/>
  <c r="AD19" i="9"/>
  <c r="AC19" i="9"/>
  <c r="E19" i="9"/>
  <c r="BW3" i="10"/>
  <c r="BQ3" i="11"/>
  <c r="BK3" i="10"/>
  <c r="CL6" i="12"/>
  <c r="CL3" i="12"/>
  <c r="CR3" i="12"/>
  <c r="E38" i="11"/>
  <c r="E31" i="11"/>
  <c r="E52" i="11"/>
  <c r="E42" i="11"/>
  <c r="Z25" i="11"/>
  <c r="CR3" i="11"/>
  <c r="CL21" i="11"/>
  <c r="CL18" i="11"/>
  <c r="CR18" i="11"/>
  <c r="CR3" i="10"/>
  <c r="E38" i="10"/>
  <c r="E31" i="10"/>
  <c r="E52" i="10"/>
  <c r="E42" i="10"/>
  <c r="Z25" i="10"/>
  <c r="BN3" i="10"/>
  <c r="Z4" i="10"/>
  <c r="CC18" i="11"/>
  <c r="CF18" i="11"/>
  <c r="W25" i="11"/>
  <c r="CC18" i="10"/>
  <c r="CF18" i="10"/>
  <c r="Z4" i="12"/>
  <c r="BW3" i="11"/>
  <c r="CC3" i="12"/>
  <c r="BW3" i="12"/>
  <c r="CF3" i="12"/>
  <c r="E3" i="12"/>
  <c r="CX3" i="12"/>
  <c r="W25" i="12"/>
  <c r="Z25" i="12"/>
  <c r="W4" i="12"/>
  <c r="W4" i="11"/>
  <c r="CI3" i="11"/>
  <c r="BZ3" i="11"/>
  <c r="Z4" i="11"/>
  <c r="CO3" i="10"/>
  <c r="CL21" i="10"/>
  <c r="CL18" i="10"/>
  <c r="CR18" i="10"/>
  <c r="AD3" i="10"/>
  <c r="CX3" i="10"/>
  <c r="E3" i="10"/>
  <c r="W4" i="10"/>
  <c r="W25" i="10"/>
  <c r="Z24" i="12"/>
  <c r="CO18" i="12"/>
  <c r="E3" i="11"/>
  <c r="Z3" i="11"/>
  <c r="E4" i="11"/>
  <c r="Z24" i="11"/>
  <c r="E4" i="10"/>
  <c r="CX4" i="10"/>
  <c r="Z24" i="10"/>
  <c r="W24" i="10"/>
  <c r="AG9" i="1"/>
  <c r="AF9" i="1"/>
  <c r="AE9" i="1"/>
  <c r="AD9" i="1"/>
  <c r="AC9" i="1"/>
  <c r="HE37" i="12"/>
  <c r="HE33" i="12"/>
  <c r="HE28" i="12"/>
  <c r="HE27" i="12"/>
  <c r="HD23" i="12"/>
  <c r="HB27" i="12"/>
  <c r="GM27" i="12"/>
  <c r="FI27" i="12"/>
  <c r="ET27" i="12"/>
  <c r="EE27" i="12"/>
  <c r="DG26" i="12"/>
  <c r="ET25" i="12"/>
  <c r="ET23" i="12"/>
  <c r="EE25" i="12"/>
  <c r="EE23" i="12"/>
  <c r="DP25" i="12"/>
  <c r="DP23" i="12"/>
  <c r="HB24" i="12"/>
  <c r="GM24" i="12"/>
  <c r="FX24" i="12"/>
  <c r="ET24" i="12"/>
  <c r="EE24" i="12"/>
  <c r="DP24" i="12"/>
  <c r="HB23" i="12"/>
  <c r="GM23" i="12"/>
  <c r="FX23" i="12"/>
  <c r="DG23" i="12"/>
  <c r="DG20" i="12"/>
  <c r="HB16" i="12"/>
  <c r="GM16" i="12"/>
  <c r="FX16" i="12"/>
  <c r="ET16" i="12"/>
  <c r="EE16" i="12"/>
  <c r="DP16" i="12"/>
  <c r="FU14" i="12"/>
  <c r="DP11" i="12"/>
  <c r="DP6" i="12"/>
  <c r="DP10" i="12"/>
  <c r="DP5" i="12"/>
  <c r="DG10" i="12"/>
  <c r="HB9" i="12"/>
  <c r="GY9" i="12"/>
  <c r="GV9" i="12"/>
  <c r="GM9" i="12"/>
  <c r="GJ9" i="12"/>
  <c r="GG9" i="12"/>
  <c r="FI9" i="12"/>
  <c r="FF9" i="12"/>
  <c r="FC9" i="12"/>
  <c r="ET9" i="12"/>
  <c r="EQ9" i="12"/>
  <c r="EN9" i="12"/>
  <c r="EE9" i="12"/>
  <c r="EB9" i="12"/>
  <c r="DY9" i="12"/>
  <c r="HE8" i="12"/>
  <c r="HE7" i="12"/>
  <c r="HD3" i="12"/>
  <c r="ET7" i="12"/>
  <c r="ET5" i="12"/>
  <c r="ET6" i="12"/>
  <c r="ET3" i="12"/>
  <c r="EQ7" i="12"/>
  <c r="EQ5" i="12"/>
  <c r="EN7" i="12"/>
  <c r="EN5" i="12"/>
  <c r="EE7" i="12"/>
  <c r="EE5" i="12"/>
  <c r="EE6" i="12"/>
  <c r="EE3" i="12"/>
  <c r="EB7" i="12"/>
  <c r="EB5" i="12"/>
  <c r="DY7" i="12"/>
  <c r="DY5" i="12"/>
  <c r="DP7" i="12"/>
  <c r="DM7" i="12"/>
  <c r="DM5" i="12"/>
  <c r="DJ7" i="12"/>
  <c r="DJ5" i="12"/>
  <c r="HB6" i="12"/>
  <c r="GY6" i="12"/>
  <c r="GV6" i="12"/>
  <c r="GM6" i="12"/>
  <c r="GJ6" i="12"/>
  <c r="GG6" i="12"/>
  <c r="GA3" i="12"/>
  <c r="FX6" i="12"/>
  <c r="FU6" i="12"/>
  <c r="FI6" i="12"/>
  <c r="FF6" i="12"/>
  <c r="FC6" i="12"/>
  <c r="EQ6" i="12"/>
  <c r="EN6" i="12"/>
  <c r="EB6" i="12"/>
  <c r="DY6" i="12"/>
  <c r="DM6" i="12"/>
  <c r="DJ6" i="12"/>
  <c r="HB5" i="12"/>
  <c r="GY5" i="12"/>
  <c r="GV5" i="12"/>
  <c r="GS5" i="12"/>
  <c r="GM5" i="12"/>
  <c r="GM3" i="12"/>
  <c r="GJ5" i="12"/>
  <c r="GG5" i="12"/>
  <c r="GD5" i="12"/>
  <c r="FX5" i="12"/>
  <c r="FU5" i="12"/>
  <c r="FR5" i="12"/>
  <c r="FI5" i="12"/>
  <c r="FF5" i="12"/>
  <c r="FC5" i="12"/>
  <c r="EZ5" i="12"/>
  <c r="EK5" i="12"/>
  <c r="DV5" i="12"/>
  <c r="FX3" i="12"/>
  <c r="FI3" i="12"/>
  <c r="HE37" i="11"/>
  <c r="HE33" i="11"/>
  <c r="HE28" i="11"/>
  <c r="HE27" i="11"/>
  <c r="HD23" i="11"/>
  <c r="HB27" i="11"/>
  <c r="GM27" i="11"/>
  <c r="FI27" i="11"/>
  <c r="ET27" i="11"/>
  <c r="EE27" i="11"/>
  <c r="DG26" i="11"/>
  <c r="ET25" i="11"/>
  <c r="ET23" i="11"/>
  <c r="EE25" i="11"/>
  <c r="EE23" i="11"/>
  <c r="DP25" i="11"/>
  <c r="DP23" i="11"/>
  <c r="HB24" i="11"/>
  <c r="GM24" i="11"/>
  <c r="FX24" i="11"/>
  <c r="ET24" i="11"/>
  <c r="EE24" i="11"/>
  <c r="DP24" i="11"/>
  <c r="HB23" i="11"/>
  <c r="GM23" i="11"/>
  <c r="FX23" i="11"/>
  <c r="DG23" i="11"/>
  <c r="DG20" i="11"/>
  <c r="HB16" i="11"/>
  <c r="FX16" i="11"/>
  <c r="ET16" i="11"/>
  <c r="EE16" i="11"/>
  <c r="DP16" i="11"/>
  <c r="FU14" i="11"/>
  <c r="DP11" i="11"/>
  <c r="DP10" i="11"/>
  <c r="DP5" i="11"/>
  <c r="DP6" i="11"/>
  <c r="DP7" i="11"/>
  <c r="DP3" i="11"/>
  <c r="DG10" i="11"/>
  <c r="DG11" i="11"/>
  <c r="DG5" i="11"/>
  <c r="HB9" i="11"/>
  <c r="GY9" i="11"/>
  <c r="GV9" i="11"/>
  <c r="GJ9" i="11"/>
  <c r="GG9" i="11"/>
  <c r="FI9" i="11"/>
  <c r="FF9" i="11"/>
  <c r="FC9" i="11"/>
  <c r="ET9" i="11"/>
  <c r="EQ9" i="11"/>
  <c r="EN9" i="11"/>
  <c r="EE9" i="11"/>
  <c r="EB9" i="11"/>
  <c r="DY9" i="11"/>
  <c r="HE8" i="11"/>
  <c r="HE7" i="11"/>
  <c r="HD3" i="11"/>
  <c r="ET7" i="11"/>
  <c r="EQ7" i="11"/>
  <c r="EQ5" i="11"/>
  <c r="EN7" i="11"/>
  <c r="EN5" i="11"/>
  <c r="EE7" i="11"/>
  <c r="EE5" i="11"/>
  <c r="EE6" i="11"/>
  <c r="EE3" i="11"/>
  <c r="EB7" i="11"/>
  <c r="EB5" i="11"/>
  <c r="DY7" i="11"/>
  <c r="DY5" i="11"/>
  <c r="DM7" i="11"/>
  <c r="DM5" i="11"/>
  <c r="DJ7" i="11"/>
  <c r="DJ5" i="11"/>
  <c r="HB6" i="11"/>
  <c r="GY6" i="11"/>
  <c r="GV6" i="11"/>
  <c r="HB5" i="11"/>
  <c r="HB3" i="11"/>
  <c r="GJ6" i="11"/>
  <c r="GG6" i="11"/>
  <c r="FX6" i="11"/>
  <c r="FU6" i="11"/>
  <c r="FU3" i="11"/>
  <c r="FI6" i="11"/>
  <c r="FF6" i="11"/>
  <c r="FC6" i="11"/>
  <c r="ET6" i="11"/>
  <c r="EQ6" i="11"/>
  <c r="EN6" i="11"/>
  <c r="EB6" i="11"/>
  <c r="DY6" i="11"/>
  <c r="DM6" i="11"/>
  <c r="DJ6" i="11"/>
  <c r="GY5" i="11"/>
  <c r="GV5" i="11"/>
  <c r="GS5" i="11"/>
  <c r="GJ5" i="11"/>
  <c r="GG5" i="11"/>
  <c r="GD5" i="11"/>
  <c r="FX5" i="11"/>
  <c r="FU5" i="11"/>
  <c r="FR5" i="11"/>
  <c r="FI5" i="11"/>
  <c r="FF5" i="11"/>
  <c r="FC5" i="11"/>
  <c r="EZ5" i="11"/>
  <c r="ET5" i="11"/>
  <c r="ET3" i="11"/>
  <c r="EK5" i="11"/>
  <c r="DV5" i="11"/>
  <c r="FX3" i="11"/>
  <c r="FI3" i="11"/>
  <c r="HE37" i="10"/>
  <c r="HE33" i="10"/>
  <c r="HE28" i="10"/>
  <c r="HE27" i="10"/>
  <c r="HB27" i="10"/>
  <c r="GM27" i="10"/>
  <c r="FI27" i="10"/>
  <c r="ET27" i="10"/>
  <c r="EE27" i="10"/>
  <c r="DG26" i="10"/>
  <c r="ET25" i="10"/>
  <c r="ET23" i="10"/>
  <c r="EE25" i="10"/>
  <c r="EE23" i="10"/>
  <c r="DP25" i="10"/>
  <c r="DP23" i="10"/>
  <c r="HB24" i="10"/>
  <c r="GM24" i="10"/>
  <c r="FX24" i="10"/>
  <c r="ET24" i="10"/>
  <c r="EE24" i="10"/>
  <c r="DP24" i="10"/>
  <c r="HB23" i="10"/>
  <c r="GM23" i="10"/>
  <c r="FX23" i="10"/>
  <c r="DG23" i="10"/>
  <c r="DG20" i="10"/>
  <c r="HB16" i="10"/>
  <c r="GM16" i="10"/>
  <c r="FX16" i="10"/>
  <c r="ET16" i="10"/>
  <c r="EE16" i="10"/>
  <c r="DP16" i="10"/>
  <c r="FU14" i="10"/>
  <c r="DP11" i="10"/>
  <c r="DP10" i="10"/>
  <c r="DG10" i="10"/>
  <c r="HB9" i="10"/>
  <c r="GY9" i="10"/>
  <c r="GV9" i="10"/>
  <c r="GM9" i="10"/>
  <c r="GJ9" i="10"/>
  <c r="GG9" i="10"/>
  <c r="FI9" i="10"/>
  <c r="FF9" i="10"/>
  <c r="FC9" i="10"/>
  <c r="ET9" i="10"/>
  <c r="EQ9" i="10"/>
  <c r="EN9" i="10"/>
  <c r="EE9" i="10"/>
  <c r="EB9" i="10"/>
  <c r="DY9" i="10"/>
  <c r="HE8" i="10"/>
  <c r="HE7" i="10"/>
  <c r="HD3" i="10"/>
  <c r="ET7" i="10"/>
  <c r="ET5" i="10"/>
  <c r="ET6" i="10"/>
  <c r="ET3" i="10"/>
  <c r="EQ7" i="10"/>
  <c r="EQ5" i="10"/>
  <c r="EN7" i="10"/>
  <c r="EN5" i="10"/>
  <c r="EE7" i="10"/>
  <c r="EE5" i="10"/>
  <c r="EE6" i="10"/>
  <c r="EE3" i="10"/>
  <c r="EB7" i="10"/>
  <c r="EB5" i="10"/>
  <c r="DY7" i="10"/>
  <c r="DY5" i="10"/>
  <c r="DP7" i="10"/>
  <c r="DM7" i="10"/>
  <c r="DM5" i="10"/>
  <c r="DJ7" i="10"/>
  <c r="DJ5" i="10"/>
  <c r="HB6" i="10"/>
  <c r="GY6" i="10"/>
  <c r="GV6" i="10"/>
  <c r="GM6" i="10"/>
  <c r="GJ6" i="10"/>
  <c r="GG6" i="10"/>
  <c r="GA3" i="10"/>
  <c r="FX6" i="10"/>
  <c r="FU6" i="10"/>
  <c r="FR5" i="10"/>
  <c r="FR3" i="10"/>
  <c r="CU24" i="10"/>
  <c r="FI6" i="10"/>
  <c r="FF6" i="10"/>
  <c r="FC6" i="10"/>
  <c r="EQ6" i="10"/>
  <c r="EN6" i="10"/>
  <c r="EB6" i="10"/>
  <c r="DY6" i="10"/>
  <c r="DP6" i="10"/>
  <c r="DM6" i="10"/>
  <c r="DJ6" i="10"/>
  <c r="HB5" i="10"/>
  <c r="GY5" i="10"/>
  <c r="GV5" i="10"/>
  <c r="GS5" i="10"/>
  <c r="GM5" i="10"/>
  <c r="GJ5" i="10"/>
  <c r="GG5" i="10"/>
  <c r="GD5" i="10"/>
  <c r="FX5" i="10"/>
  <c r="FU5" i="10"/>
  <c r="FI5" i="10"/>
  <c r="FF5" i="10"/>
  <c r="FC5" i="10"/>
  <c r="EZ5" i="10"/>
  <c r="EK5" i="10"/>
  <c r="DV5" i="10"/>
  <c r="DP5" i="10"/>
  <c r="GM3" i="10"/>
  <c r="FX3" i="10"/>
  <c r="FI3" i="10"/>
  <c r="H69" i="9"/>
  <c r="H65" i="9"/>
  <c r="H68" i="9"/>
  <c r="H55" i="9"/>
  <c r="K51" i="9"/>
  <c r="K49" i="9"/>
  <c r="K50" i="9"/>
  <c r="H48" i="9"/>
  <c r="H46" i="9"/>
  <c r="E50" i="9"/>
  <c r="H47" i="9"/>
  <c r="E48" i="9"/>
  <c r="E46" i="9"/>
  <c r="H40" i="9"/>
  <c r="HE37" i="9"/>
  <c r="HE33" i="9"/>
  <c r="Z35" i="9"/>
  <c r="W35" i="9"/>
  <c r="W38" i="9"/>
  <c r="E37" i="9"/>
  <c r="DA34" i="9"/>
  <c r="Z34" i="9"/>
  <c r="W34" i="9"/>
  <c r="DA33" i="9"/>
  <c r="BN33" i="9"/>
  <c r="BK33" i="9"/>
  <c r="AM33" i="9"/>
  <c r="AJ33" i="9"/>
  <c r="AG33" i="9"/>
  <c r="AG32" i="9"/>
  <c r="AG35" i="9"/>
  <c r="AF33" i="9"/>
  <c r="AF32" i="9"/>
  <c r="AF35" i="9"/>
  <c r="AE33" i="9"/>
  <c r="AE32" i="9"/>
  <c r="AE35" i="9"/>
  <c r="AD33" i="9"/>
  <c r="AD32" i="9"/>
  <c r="AD35" i="9"/>
  <c r="AC33" i="9"/>
  <c r="AC32" i="9"/>
  <c r="AC35" i="9"/>
  <c r="CL21" i="9"/>
  <c r="CL18" i="9"/>
  <c r="DA32" i="9"/>
  <c r="DA31" i="9"/>
  <c r="BE31" i="9"/>
  <c r="BB31" i="9"/>
  <c r="AV31" i="9"/>
  <c r="AS31" i="9"/>
  <c r="Z31" i="9"/>
  <c r="W31" i="9"/>
  <c r="K30" i="9"/>
  <c r="AG29" i="9"/>
  <c r="AF29" i="9"/>
  <c r="AE29" i="9"/>
  <c r="AD29" i="9"/>
  <c r="AC29" i="9"/>
  <c r="Z29" i="9"/>
  <c r="K29" i="9"/>
  <c r="K28" i="9"/>
  <c r="HE28" i="9"/>
  <c r="HE27" i="9"/>
  <c r="HD23" i="9"/>
  <c r="AG28" i="9"/>
  <c r="AF28" i="9"/>
  <c r="AE28" i="9"/>
  <c r="AD28" i="9"/>
  <c r="AC28" i="9"/>
  <c r="Z28" i="9"/>
  <c r="Z27" i="9"/>
  <c r="W28" i="9"/>
  <c r="W27" i="9"/>
  <c r="HB27" i="9"/>
  <c r="GM27" i="9"/>
  <c r="FI27" i="9"/>
  <c r="ET27" i="9"/>
  <c r="EE27" i="9"/>
  <c r="H27" i="9"/>
  <c r="DG26" i="9"/>
  <c r="BN26" i="9"/>
  <c r="BK26" i="9"/>
  <c r="H26" i="9"/>
  <c r="H25" i="9"/>
  <c r="ET25" i="9"/>
  <c r="ET23" i="9"/>
  <c r="EE25" i="9"/>
  <c r="EE23" i="9"/>
  <c r="DP25" i="9"/>
  <c r="DP23" i="9"/>
  <c r="BN25" i="9"/>
  <c r="BN24" i="9"/>
  <c r="BN20" i="9"/>
  <c r="BK25" i="9"/>
  <c r="BK24" i="9"/>
  <c r="BK20" i="9"/>
  <c r="BE25" i="9"/>
  <c r="BE24" i="9"/>
  <c r="BB25" i="9"/>
  <c r="BB24" i="9"/>
  <c r="BB20" i="9"/>
  <c r="AV25" i="9"/>
  <c r="AV24" i="9"/>
  <c r="AS25" i="9"/>
  <c r="AS24" i="9"/>
  <c r="AM25" i="9"/>
  <c r="AJ25" i="9"/>
  <c r="AJ24" i="9"/>
  <c r="AJ20" i="9"/>
  <c r="Q25" i="9"/>
  <c r="Q24" i="9"/>
  <c r="Q20" i="9"/>
  <c r="N25" i="9"/>
  <c r="N24" i="9"/>
  <c r="N20" i="9"/>
  <c r="HB24" i="9"/>
  <c r="GM24" i="9"/>
  <c r="FX24" i="9"/>
  <c r="ET24" i="9"/>
  <c r="EE24" i="9"/>
  <c r="DP24" i="9"/>
  <c r="AM24" i="9"/>
  <c r="AM20" i="9"/>
  <c r="AG24" i="9"/>
  <c r="AF24" i="9"/>
  <c r="AE24" i="9"/>
  <c r="AD24" i="9"/>
  <c r="AC24" i="9"/>
  <c r="HB23" i="9"/>
  <c r="GM23" i="9"/>
  <c r="FX23" i="9"/>
  <c r="DG23" i="9"/>
  <c r="DG20" i="9"/>
  <c r="CF23" i="9"/>
  <c r="CF22" i="9"/>
  <c r="CC23" i="9"/>
  <c r="CC22" i="9"/>
  <c r="AG23" i="9"/>
  <c r="AF23" i="9"/>
  <c r="AE23" i="9"/>
  <c r="AD23" i="9"/>
  <c r="AC23" i="9"/>
  <c r="CO22" i="9"/>
  <c r="CO21" i="9"/>
  <c r="CO20" i="9"/>
  <c r="CR20" i="9"/>
  <c r="AG20" i="9"/>
  <c r="AF20" i="9"/>
  <c r="AE20" i="9"/>
  <c r="AD20" i="9"/>
  <c r="AC20" i="9"/>
  <c r="CX18" i="9"/>
  <c r="CX21" i="9"/>
  <c r="E18" i="9"/>
  <c r="HB16" i="9"/>
  <c r="GM16" i="9"/>
  <c r="FX16" i="9"/>
  <c r="ET16" i="9"/>
  <c r="EE16" i="9"/>
  <c r="DP16" i="9"/>
  <c r="AP16" i="9"/>
  <c r="AM16" i="9"/>
  <c r="AJ16" i="9"/>
  <c r="BQ15" i="9"/>
  <c r="BN15" i="9"/>
  <c r="BK15" i="9"/>
  <c r="FU14" i="9"/>
  <c r="BH14" i="9"/>
  <c r="BE14" i="9"/>
  <c r="BB14" i="9"/>
  <c r="AY14" i="9"/>
  <c r="AV14" i="9"/>
  <c r="AS14" i="9"/>
  <c r="Z14" i="9"/>
  <c r="Z17" i="9"/>
  <c r="W14" i="9"/>
  <c r="W17" i="9"/>
  <c r="CU13" i="9"/>
  <c r="CU12" i="9"/>
  <c r="CU11" i="9"/>
  <c r="Z13" i="9"/>
  <c r="W13" i="9"/>
  <c r="K13" i="9"/>
  <c r="K12" i="9"/>
  <c r="K11" i="9"/>
  <c r="K16" i="9"/>
  <c r="AC40" i="9"/>
  <c r="DA12" i="9"/>
  <c r="DA11" i="9"/>
  <c r="DA10" i="9"/>
  <c r="DP11" i="9"/>
  <c r="DP10" i="9"/>
  <c r="DP5" i="9"/>
  <c r="DG10" i="9"/>
  <c r="CX10" i="9"/>
  <c r="Z10" i="9"/>
  <c r="W10" i="9"/>
  <c r="HB9" i="9"/>
  <c r="GY9" i="9"/>
  <c r="GV9" i="9"/>
  <c r="GM9" i="9"/>
  <c r="GJ9" i="9"/>
  <c r="GG9" i="9"/>
  <c r="FI9" i="9"/>
  <c r="FF9" i="9"/>
  <c r="FC9" i="9"/>
  <c r="ET9" i="9"/>
  <c r="EQ9" i="9"/>
  <c r="EN9" i="9"/>
  <c r="EE9" i="9"/>
  <c r="EB9" i="9"/>
  <c r="DY9" i="9"/>
  <c r="DA9" i="9"/>
  <c r="CU9" i="9"/>
  <c r="BQ9" i="9"/>
  <c r="BN9" i="9"/>
  <c r="BK9" i="9"/>
  <c r="AG9" i="9"/>
  <c r="AF9" i="9"/>
  <c r="AE9" i="9"/>
  <c r="AD9" i="9"/>
  <c r="AC9" i="9"/>
  <c r="H9" i="9"/>
  <c r="HE8" i="9"/>
  <c r="HE7" i="9"/>
  <c r="HD3" i="9"/>
  <c r="DA8" i="9"/>
  <c r="DA15" i="9"/>
  <c r="CU8" i="9"/>
  <c r="CI8" i="9"/>
  <c r="CI7" i="9"/>
  <c r="CF8" i="9"/>
  <c r="CF7" i="9"/>
  <c r="CC8" i="9"/>
  <c r="CC7" i="9"/>
  <c r="CC3" i="9"/>
  <c r="BQ8" i="9"/>
  <c r="BN8" i="9"/>
  <c r="BN7" i="9"/>
  <c r="BN3" i="9"/>
  <c r="BK8" i="9"/>
  <c r="BK7" i="9"/>
  <c r="BH8" i="9"/>
  <c r="BH7" i="9"/>
  <c r="BE8" i="9"/>
  <c r="BE7" i="9"/>
  <c r="BB8" i="9"/>
  <c r="BB7" i="9"/>
  <c r="BB3" i="9"/>
  <c r="AY8" i="9"/>
  <c r="AY7" i="9"/>
  <c r="AV8" i="9"/>
  <c r="AV7" i="9"/>
  <c r="AS8" i="9"/>
  <c r="AS7" i="9"/>
  <c r="AS3" i="9"/>
  <c r="AP8" i="9"/>
  <c r="AP7" i="9"/>
  <c r="AP3" i="9"/>
  <c r="AM8" i="9"/>
  <c r="AM7" i="9"/>
  <c r="AJ8" i="9"/>
  <c r="AJ7" i="9"/>
  <c r="AJ3" i="9"/>
  <c r="AG8" i="9"/>
  <c r="AF8" i="9"/>
  <c r="T8" i="9"/>
  <c r="T7" i="9"/>
  <c r="Q8" i="9"/>
  <c r="Q7" i="9"/>
  <c r="Q3" i="9"/>
  <c r="N8" i="9"/>
  <c r="N7" i="9"/>
  <c r="N3" i="9"/>
  <c r="ET7" i="9"/>
  <c r="ET5" i="9"/>
  <c r="ET6" i="9"/>
  <c r="ET3" i="9"/>
  <c r="EQ7" i="9"/>
  <c r="EQ5" i="9"/>
  <c r="EN7" i="9"/>
  <c r="EN5" i="9"/>
  <c r="EE7" i="9"/>
  <c r="EE5" i="9"/>
  <c r="EB7" i="9"/>
  <c r="EB5" i="9"/>
  <c r="DY7" i="9"/>
  <c r="DY5" i="9"/>
  <c r="DP7" i="9"/>
  <c r="DM7" i="9"/>
  <c r="DJ7" i="9"/>
  <c r="DJ5" i="9"/>
  <c r="DA7" i="9"/>
  <c r="CX7" i="9"/>
  <c r="CX6" i="9"/>
  <c r="CU7" i="9"/>
  <c r="BQ7" i="9"/>
  <c r="BQ3" i="9"/>
  <c r="Z7" i="9"/>
  <c r="Z6" i="9"/>
  <c r="W7" i="9"/>
  <c r="W6" i="9"/>
  <c r="H7" i="9"/>
  <c r="HB6" i="9"/>
  <c r="GY6" i="9"/>
  <c r="GV6" i="9"/>
  <c r="GP6" i="9"/>
  <c r="GM6" i="9"/>
  <c r="GJ6" i="9"/>
  <c r="GG6" i="9"/>
  <c r="GA6" i="9"/>
  <c r="FX6" i="9"/>
  <c r="FU6" i="9"/>
  <c r="FL6" i="9"/>
  <c r="FI6" i="9"/>
  <c r="FI5" i="9"/>
  <c r="FI3" i="9"/>
  <c r="FF6" i="9"/>
  <c r="FC6" i="9"/>
  <c r="EW6" i="9"/>
  <c r="EQ6" i="9"/>
  <c r="EN6" i="9"/>
  <c r="EH6" i="9"/>
  <c r="EH7" i="9"/>
  <c r="EE6" i="9"/>
  <c r="EB6" i="9"/>
  <c r="DY6" i="9"/>
  <c r="DS6" i="9"/>
  <c r="DP6" i="9"/>
  <c r="DM6" i="9"/>
  <c r="DJ6" i="9"/>
  <c r="DD6" i="9"/>
  <c r="DA6" i="9"/>
  <c r="CU6" i="9"/>
  <c r="E6" i="9"/>
  <c r="HB5" i="9"/>
  <c r="GY5" i="9"/>
  <c r="GV5" i="9"/>
  <c r="GS5" i="9"/>
  <c r="GM5" i="9"/>
  <c r="GJ5" i="9"/>
  <c r="GG5" i="9"/>
  <c r="GD5" i="9"/>
  <c r="FX5" i="9"/>
  <c r="FU5" i="9"/>
  <c r="FR5" i="9"/>
  <c r="FF5" i="9"/>
  <c r="FC5" i="9"/>
  <c r="EZ5" i="9"/>
  <c r="EK5" i="9"/>
  <c r="DV5" i="9"/>
  <c r="DM5" i="9"/>
  <c r="CR5" i="9"/>
  <c r="GM3" i="9"/>
  <c r="FX3" i="9"/>
  <c r="EE9" i="7"/>
  <c r="EB9" i="7"/>
  <c r="DY9" i="7"/>
  <c r="DV5" i="7"/>
  <c r="EE27" i="7"/>
  <c r="EE9" i="8"/>
  <c r="EB9" i="8"/>
  <c r="DY9" i="8"/>
  <c r="DV5" i="8"/>
  <c r="EE27" i="8"/>
  <c r="EE9" i="1"/>
  <c r="EB9" i="1"/>
  <c r="DY9" i="1"/>
  <c r="DV5" i="1"/>
  <c r="EE27" i="1"/>
  <c r="DV5" i="6"/>
  <c r="EE27" i="6"/>
  <c r="EE9" i="6"/>
  <c r="EB9" i="6"/>
  <c r="DY9" i="6"/>
  <c r="H69" i="7"/>
  <c r="H65" i="7"/>
  <c r="H68" i="7"/>
  <c r="H55" i="7"/>
  <c r="K51" i="7"/>
  <c r="K49" i="7"/>
  <c r="K50" i="7"/>
  <c r="H48" i="7"/>
  <c r="H46" i="7"/>
  <c r="E50" i="7"/>
  <c r="H47" i="7"/>
  <c r="E48" i="7"/>
  <c r="E46" i="7"/>
  <c r="E52" i="7"/>
  <c r="E42" i="7"/>
  <c r="H40" i="7"/>
  <c r="HE37" i="7"/>
  <c r="HE33" i="7"/>
  <c r="E37" i="7"/>
  <c r="HE28" i="7"/>
  <c r="HE27" i="7"/>
  <c r="HB27" i="7"/>
  <c r="GM27" i="7"/>
  <c r="FI27" i="7"/>
  <c r="ET27" i="7"/>
  <c r="H27" i="7"/>
  <c r="DG26" i="7"/>
  <c r="H26" i="7"/>
  <c r="ET25" i="7"/>
  <c r="ET23" i="7"/>
  <c r="EE25" i="7"/>
  <c r="DP25" i="7"/>
  <c r="DP23" i="7"/>
  <c r="BN20" i="7"/>
  <c r="BK20" i="7"/>
  <c r="BE20" i="7"/>
  <c r="BB20" i="7"/>
  <c r="AV20" i="7"/>
  <c r="AS20" i="7"/>
  <c r="AM20" i="7"/>
  <c r="AJ20" i="7"/>
  <c r="Q25" i="7"/>
  <c r="Q24" i="7"/>
  <c r="Q20" i="7"/>
  <c r="N25" i="7"/>
  <c r="N24" i="7"/>
  <c r="N20" i="7"/>
  <c r="HB24" i="7"/>
  <c r="GM24" i="7"/>
  <c r="FX24" i="7"/>
  <c r="ET24" i="7"/>
  <c r="EE24" i="7"/>
  <c r="DP24" i="7"/>
  <c r="HB23" i="7"/>
  <c r="GM23" i="7"/>
  <c r="FX23" i="7"/>
  <c r="EE23" i="7"/>
  <c r="DG23" i="7"/>
  <c r="DG20" i="7"/>
  <c r="CF23" i="7"/>
  <c r="CF22" i="7"/>
  <c r="CC23" i="7"/>
  <c r="CC22" i="7"/>
  <c r="CL21" i="7"/>
  <c r="CR20" i="7"/>
  <c r="H20" i="7"/>
  <c r="H19" i="7"/>
  <c r="CL18" i="7"/>
  <c r="H18" i="7"/>
  <c r="H17" i="7"/>
  <c r="HB16" i="7"/>
  <c r="GM16" i="7"/>
  <c r="FX16" i="7"/>
  <c r="ET16" i="7"/>
  <c r="EE16" i="7"/>
  <c r="DP16" i="7"/>
  <c r="FU14" i="7"/>
  <c r="K13" i="7"/>
  <c r="K12" i="7"/>
  <c r="K11" i="7"/>
  <c r="K16" i="7"/>
  <c r="DP11" i="7"/>
  <c r="DP6" i="7"/>
  <c r="DP10" i="7"/>
  <c r="DG10" i="7"/>
  <c r="HB9" i="7"/>
  <c r="GY9" i="7"/>
  <c r="GV9" i="7"/>
  <c r="GM9" i="7"/>
  <c r="GJ9" i="7"/>
  <c r="GG9" i="7"/>
  <c r="FI9" i="7"/>
  <c r="FF9" i="7"/>
  <c r="FC9" i="7"/>
  <c r="ET9" i="7"/>
  <c r="EQ9" i="7"/>
  <c r="EN9" i="7"/>
  <c r="H9" i="7"/>
  <c r="HE8" i="7"/>
  <c r="HE7" i="7"/>
  <c r="CI3" i="7"/>
  <c r="CF3" i="7"/>
  <c r="CC3" i="7"/>
  <c r="BQ3" i="7"/>
  <c r="BN3" i="7"/>
  <c r="BH3" i="7"/>
  <c r="BE3" i="7"/>
  <c r="BB3" i="7"/>
  <c r="AY3" i="7"/>
  <c r="AS3" i="7"/>
  <c r="AP3" i="7"/>
  <c r="AM3" i="7"/>
  <c r="AJ3" i="7"/>
  <c r="T8" i="7"/>
  <c r="T7" i="7"/>
  <c r="T3" i="7"/>
  <c r="Q8" i="7"/>
  <c r="N8" i="7"/>
  <c r="N7" i="7"/>
  <c r="N3" i="7"/>
  <c r="ET7" i="7"/>
  <c r="ET5" i="7"/>
  <c r="ET6" i="7"/>
  <c r="ET3" i="7"/>
  <c r="EQ7" i="7"/>
  <c r="EQ5" i="7"/>
  <c r="EN7" i="7"/>
  <c r="EN5" i="7"/>
  <c r="EE7" i="7"/>
  <c r="EE5" i="7"/>
  <c r="EE6" i="7"/>
  <c r="EE3" i="7"/>
  <c r="EB7" i="7"/>
  <c r="DY7" i="7"/>
  <c r="DY5" i="7"/>
  <c r="DP7" i="7"/>
  <c r="DM7" i="7"/>
  <c r="DM5" i="7"/>
  <c r="DJ7" i="7"/>
  <c r="DJ5" i="7"/>
  <c r="AV3" i="7"/>
  <c r="Q7" i="7"/>
  <c r="Q3" i="7"/>
  <c r="H7" i="7"/>
  <c r="HB6" i="7"/>
  <c r="GY6" i="7"/>
  <c r="GV6" i="7"/>
  <c r="GM6" i="7"/>
  <c r="GJ6" i="7"/>
  <c r="GG6" i="7"/>
  <c r="FX6" i="7"/>
  <c r="FU6" i="7"/>
  <c r="FI6" i="7"/>
  <c r="FF6" i="7"/>
  <c r="FC6" i="7"/>
  <c r="EQ6" i="7"/>
  <c r="EN6" i="7"/>
  <c r="EB6" i="7"/>
  <c r="DY6" i="7"/>
  <c r="DM6" i="7"/>
  <c r="DJ6" i="7"/>
  <c r="CL3" i="7"/>
  <c r="E6" i="7"/>
  <c r="HB5" i="7"/>
  <c r="GY5" i="7"/>
  <c r="GV5" i="7"/>
  <c r="GS5" i="7"/>
  <c r="GM5" i="7"/>
  <c r="GJ5" i="7"/>
  <c r="GG5" i="7"/>
  <c r="GD5" i="7"/>
  <c r="FX5" i="7"/>
  <c r="FU5" i="7"/>
  <c r="FR5" i="7"/>
  <c r="FI5" i="7"/>
  <c r="FF5" i="7"/>
  <c r="FC5" i="7"/>
  <c r="EZ5" i="7"/>
  <c r="EK5" i="7"/>
  <c r="EB5" i="7"/>
  <c r="DP5" i="7"/>
  <c r="DP3" i="7"/>
  <c r="GM3" i="7"/>
  <c r="FX3" i="7"/>
  <c r="FI3" i="7"/>
  <c r="H69" i="8"/>
  <c r="H65" i="8"/>
  <c r="H61" i="8"/>
  <c r="H52" i="8"/>
  <c r="H68" i="8"/>
  <c r="H55" i="8"/>
  <c r="K51" i="8"/>
  <c r="K49" i="8"/>
  <c r="K50" i="8"/>
  <c r="H48" i="8"/>
  <c r="H46" i="8"/>
  <c r="E50" i="8"/>
  <c r="H47" i="8"/>
  <c r="E48" i="8"/>
  <c r="E46" i="8"/>
  <c r="E52" i="8"/>
  <c r="E42" i="8"/>
  <c r="H40" i="8"/>
  <c r="HE37" i="8"/>
  <c r="HE33" i="8"/>
  <c r="E37" i="8"/>
  <c r="W25" i="8"/>
  <c r="HE28" i="8"/>
  <c r="HE27" i="8"/>
  <c r="HD23" i="8"/>
  <c r="HB27" i="8"/>
  <c r="GM27" i="8"/>
  <c r="FI27" i="8"/>
  <c r="ET27" i="8"/>
  <c r="H27" i="8"/>
  <c r="DG26" i="8"/>
  <c r="K18" i="8"/>
  <c r="K17" i="8"/>
  <c r="H26" i="8"/>
  <c r="ET25" i="8"/>
  <c r="ET23" i="8"/>
  <c r="EE25" i="8"/>
  <c r="EE23" i="8"/>
  <c r="DP25" i="8"/>
  <c r="DP23" i="8"/>
  <c r="BN20" i="8"/>
  <c r="BE20" i="8"/>
  <c r="BB20" i="8"/>
  <c r="AV20" i="8"/>
  <c r="AM20" i="8"/>
  <c r="Q25" i="8"/>
  <c r="Q24" i="8"/>
  <c r="Q20" i="8"/>
  <c r="N25" i="8"/>
  <c r="HB24" i="8"/>
  <c r="GM24" i="8"/>
  <c r="FX24" i="8"/>
  <c r="ET24" i="8"/>
  <c r="EE24" i="8"/>
  <c r="DP24" i="8"/>
  <c r="BK20" i="8"/>
  <c r="AS20" i="8"/>
  <c r="AJ20" i="8"/>
  <c r="N24" i="8"/>
  <c r="HB23" i="8"/>
  <c r="GM23" i="8"/>
  <c r="FX23" i="8"/>
  <c r="DG23" i="8"/>
  <c r="DG20" i="8"/>
  <c r="CF23" i="8"/>
  <c r="CF22" i="8"/>
  <c r="CF18" i="8"/>
  <c r="CC23" i="8"/>
  <c r="CC22" i="8"/>
  <c r="CC18" i="8"/>
  <c r="CL21" i="8"/>
  <c r="CL18" i="8"/>
  <c r="CO18" i="8"/>
  <c r="CR20" i="8"/>
  <c r="N20" i="8"/>
  <c r="H20" i="8"/>
  <c r="H19" i="8"/>
  <c r="H18" i="8"/>
  <c r="E21" i="8"/>
  <c r="H17" i="8"/>
  <c r="HB16" i="8"/>
  <c r="GM16" i="8"/>
  <c r="FX16" i="8"/>
  <c r="ET16" i="8"/>
  <c r="EE16" i="8"/>
  <c r="DP16" i="8"/>
  <c r="FU14" i="8"/>
  <c r="K13" i="8"/>
  <c r="K12" i="8"/>
  <c r="K11" i="8"/>
  <c r="DP11" i="8"/>
  <c r="DP10" i="8"/>
  <c r="DG10" i="8"/>
  <c r="HB9" i="8"/>
  <c r="GY9" i="8"/>
  <c r="GV9" i="8"/>
  <c r="GM9" i="8"/>
  <c r="GJ9" i="8"/>
  <c r="GG9" i="8"/>
  <c r="FI9" i="8"/>
  <c r="FF9" i="8"/>
  <c r="FC9" i="8"/>
  <c r="ET9" i="8"/>
  <c r="EQ9" i="8"/>
  <c r="EN9" i="8"/>
  <c r="H9" i="8"/>
  <c r="HE8" i="8"/>
  <c r="HE7" i="8"/>
  <c r="HD3" i="8"/>
  <c r="CI3" i="8"/>
  <c r="CF3" i="8"/>
  <c r="CC3" i="8"/>
  <c r="BQ3" i="8"/>
  <c r="BK3" i="8"/>
  <c r="BH3" i="8"/>
  <c r="BE3" i="8"/>
  <c r="AV3" i="8"/>
  <c r="AS3" i="8"/>
  <c r="AM3" i="8"/>
  <c r="AJ3" i="8"/>
  <c r="T8" i="8"/>
  <c r="T7" i="8"/>
  <c r="T3" i="8"/>
  <c r="Q8" i="8"/>
  <c r="Q7" i="8"/>
  <c r="N8" i="8"/>
  <c r="N7" i="8"/>
  <c r="N3" i="8"/>
  <c r="ET7" i="8"/>
  <c r="ET5" i="8"/>
  <c r="ET6" i="8"/>
  <c r="ET3" i="8"/>
  <c r="EQ7" i="8"/>
  <c r="EQ5" i="8"/>
  <c r="EN7" i="8"/>
  <c r="EN5" i="8"/>
  <c r="EE7" i="8"/>
  <c r="EE5" i="8"/>
  <c r="EE6" i="8"/>
  <c r="EE3" i="8"/>
  <c r="EB7" i="8"/>
  <c r="EB5" i="8"/>
  <c r="DY7" i="8"/>
  <c r="DY5" i="8"/>
  <c r="DP7" i="8"/>
  <c r="DM7" i="8"/>
  <c r="DJ7" i="8"/>
  <c r="DJ5" i="8"/>
  <c r="BN3" i="8"/>
  <c r="BB3" i="8"/>
  <c r="AP3" i="8"/>
  <c r="H7" i="8"/>
  <c r="HB6" i="8"/>
  <c r="GY6" i="8"/>
  <c r="GV6" i="8"/>
  <c r="GM6" i="8"/>
  <c r="GJ6" i="8"/>
  <c r="GG6" i="8"/>
  <c r="GA3" i="8"/>
  <c r="FX6" i="8"/>
  <c r="FU6" i="8"/>
  <c r="FI6" i="8"/>
  <c r="FF6" i="8"/>
  <c r="FC6" i="8"/>
  <c r="EQ6" i="8"/>
  <c r="EN6" i="8"/>
  <c r="EB6" i="8"/>
  <c r="DY6" i="8"/>
  <c r="DP6" i="8"/>
  <c r="DM6" i="8"/>
  <c r="DJ6" i="8"/>
  <c r="CL3" i="8"/>
  <c r="CO3" i="8"/>
  <c r="E6" i="8"/>
  <c r="HB5" i="8"/>
  <c r="GY5" i="8"/>
  <c r="GV5" i="8"/>
  <c r="GS5" i="8"/>
  <c r="GM5" i="8"/>
  <c r="GJ5" i="8"/>
  <c r="GG5" i="8"/>
  <c r="GD5" i="8"/>
  <c r="FX5" i="8"/>
  <c r="FU5" i="8"/>
  <c r="FR5" i="8"/>
  <c r="FI5" i="8"/>
  <c r="FF5" i="8"/>
  <c r="FC5" i="8"/>
  <c r="EZ5" i="8"/>
  <c r="EK5" i="8"/>
  <c r="DP5" i="8"/>
  <c r="DM5" i="8"/>
  <c r="GM3" i="8"/>
  <c r="FX3" i="8"/>
  <c r="FI3" i="8"/>
  <c r="Q3" i="8"/>
  <c r="H69" i="6"/>
  <c r="H65" i="6"/>
  <c r="H68" i="6"/>
  <c r="H55" i="6"/>
  <c r="K51" i="6"/>
  <c r="K49" i="6"/>
  <c r="K50" i="6"/>
  <c r="H48" i="6"/>
  <c r="H46" i="6"/>
  <c r="E52" i="6"/>
  <c r="H47" i="6"/>
  <c r="E50" i="6"/>
  <c r="E48" i="6"/>
  <c r="H40" i="6"/>
  <c r="HE37" i="6"/>
  <c r="HE33" i="6"/>
  <c r="E37" i="6"/>
  <c r="HE28" i="6"/>
  <c r="HE27" i="6"/>
  <c r="HD23" i="6"/>
  <c r="Z24" i="6"/>
  <c r="HB27" i="6"/>
  <c r="GM27" i="6"/>
  <c r="FI27" i="6"/>
  <c r="ET27" i="6"/>
  <c r="W24" i="6"/>
  <c r="K18" i="6"/>
  <c r="K17" i="6"/>
  <c r="DG26" i="6"/>
  <c r="ET25" i="6"/>
  <c r="ET23" i="6"/>
  <c r="EE25" i="6"/>
  <c r="EE23" i="6"/>
  <c r="DP25" i="6"/>
  <c r="DP23" i="6"/>
  <c r="BN20" i="6"/>
  <c r="BE20" i="6"/>
  <c r="BB20" i="6"/>
  <c r="AV20" i="6"/>
  <c r="AJ20" i="6"/>
  <c r="Q25" i="6"/>
  <c r="Q24" i="6"/>
  <c r="Q20" i="6"/>
  <c r="N25" i="6"/>
  <c r="N24" i="6"/>
  <c r="N20" i="6"/>
  <c r="HB24" i="6"/>
  <c r="GM24" i="6"/>
  <c r="FX24" i="6"/>
  <c r="ET24" i="6"/>
  <c r="EE24" i="6"/>
  <c r="DP24" i="6"/>
  <c r="HB23" i="6"/>
  <c r="GM23" i="6"/>
  <c r="FX23" i="6"/>
  <c r="DG20" i="6"/>
  <c r="CF23" i="6"/>
  <c r="CF22" i="6"/>
  <c r="CF18" i="6"/>
  <c r="CC23" i="6"/>
  <c r="CC22" i="6"/>
  <c r="CC18" i="6"/>
  <c r="CL21" i="6"/>
  <c r="CL18" i="6"/>
  <c r="CR20" i="6"/>
  <c r="E21" i="6"/>
  <c r="HB16" i="6"/>
  <c r="GM16" i="6"/>
  <c r="FX16" i="6"/>
  <c r="ET16" i="6"/>
  <c r="EE16" i="6"/>
  <c r="DP16" i="6"/>
  <c r="FU14" i="6"/>
  <c r="K13" i="6"/>
  <c r="K12" i="6"/>
  <c r="K11" i="6"/>
  <c r="K16" i="6"/>
  <c r="DP11" i="6"/>
  <c r="DP10" i="6"/>
  <c r="DP5" i="6"/>
  <c r="DP6" i="6"/>
  <c r="DP7" i="6"/>
  <c r="DP3" i="6"/>
  <c r="DG10" i="6"/>
  <c r="K10" i="6"/>
  <c r="HB9" i="6"/>
  <c r="GY9" i="6"/>
  <c r="GV9" i="6"/>
  <c r="GM9" i="6"/>
  <c r="GJ9" i="6"/>
  <c r="GG9" i="6"/>
  <c r="FI9" i="6"/>
  <c r="FF9" i="6"/>
  <c r="FC9" i="6"/>
  <c r="ET9" i="6"/>
  <c r="EQ9" i="6"/>
  <c r="EN9" i="6"/>
  <c r="H9" i="6"/>
  <c r="HE8" i="6"/>
  <c r="HE7" i="6"/>
  <c r="HD3" i="6"/>
  <c r="CI3" i="6"/>
  <c r="CF3" i="6"/>
  <c r="BN3" i="6"/>
  <c r="BE3" i="6"/>
  <c r="BB3" i="6"/>
  <c r="AY3" i="6"/>
  <c r="AV3" i="6"/>
  <c r="AS3" i="6"/>
  <c r="AP3" i="6"/>
  <c r="AM3" i="6"/>
  <c r="T8" i="6"/>
  <c r="Q8" i="6"/>
  <c r="Q7" i="6"/>
  <c r="Q3" i="6"/>
  <c r="N8" i="6"/>
  <c r="N7" i="6"/>
  <c r="N3" i="6"/>
  <c r="ET7" i="6"/>
  <c r="ET5" i="6"/>
  <c r="ET6" i="6"/>
  <c r="ET3" i="6"/>
  <c r="EQ7" i="6"/>
  <c r="EN7" i="6"/>
  <c r="EN5" i="6"/>
  <c r="EE7" i="6"/>
  <c r="EE5" i="6"/>
  <c r="EE6" i="6"/>
  <c r="EE3" i="6"/>
  <c r="EB7" i="6"/>
  <c r="EB5" i="6"/>
  <c r="DY7" i="6"/>
  <c r="DY5" i="6"/>
  <c r="DM7" i="6"/>
  <c r="DM5" i="6"/>
  <c r="DJ7" i="6"/>
  <c r="BK3" i="6"/>
  <c r="BH3" i="6"/>
  <c r="T7" i="6"/>
  <c r="T3" i="6"/>
  <c r="H7" i="6"/>
  <c r="HB6" i="6"/>
  <c r="GY6" i="6"/>
  <c r="GV6" i="6"/>
  <c r="GM6" i="6"/>
  <c r="GJ6" i="6"/>
  <c r="GG6" i="6"/>
  <c r="GA3" i="6"/>
  <c r="FX6" i="6"/>
  <c r="FU6" i="6"/>
  <c r="FI6" i="6"/>
  <c r="FF6" i="6"/>
  <c r="FC6" i="6"/>
  <c r="EQ6" i="6"/>
  <c r="EN6" i="6"/>
  <c r="EN3" i="6"/>
  <c r="CU21" i="6"/>
  <c r="EB6" i="6"/>
  <c r="DY6" i="6"/>
  <c r="DM6" i="6"/>
  <c r="DJ6" i="6"/>
  <c r="CL3" i="6"/>
  <c r="E6" i="6"/>
  <c r="HB5" i="6"/>
  <c r="GY5" i="6"/>
  <c r="GV5" i="6"/>
  <c r="GS5" i="6"/>
  <c r="GM5" i="6"/>
  <c r="GJ5" i="6"/>
  <c r="GG5" i="6"/>
  <c r="GD5" i="6"/>
  <c r="FX5" i="6"/>
  <c r="FU5" i="6"/>
  <c r="FR5" i="6"/>
  <c r="FI5" i="6"/>
  <c r="FF5" i="6"/>
  <c r="FC5" i="6"/>
  <c r="EZ5" i="6"/>
  <c r="EQ5" i="6"/>
  <c r="EK5" i="6"/>
  <c r="DJ5" i="6"/>
  <c r="GM3" i="6"/>
  <c r="FX3" i="6"/>
  <c r="FI3" i="6"/>
  <c r="H69" i="1"/>
  <c r="H65" i="1"/>
  <c r="H56" i="1"/>
  <c r="H68" i="1"/>
  <c r="H55" i="1"/>
  <c r="K51" i="1"/>
  <c r="K49" i="1"/>
  <c r="K50" i="1"/>
  <c r="H48" i="1"/>
  <c r="H46" i="1"/>
  <c r="E50" i="1"/>
  <c r="H47" i="1"/>
  <c r="E48" i="1"/>
  <c r="E46" i="1"/>
  <c r="H40" i="1"/>
  <c r="HE37" i="1"/>
  <c r="HE33" i="1"/>
  <c r="Z35" i="1"/>
  <c r="Z29" i="1"/>
  <c r="Z40" i="1"/>
  <c r="W35" i="1"/>
  <c r="W38" i="1"/>
  <c r="E37" i="1"/>
  <c r="DA34" i="1"/>
  <c r="Z34" i="1"/>
  <c r="W34" i="1"/>
  <c r="DA33" i="1"/>
  <c r="BN33" i="1"/>
  <c r="BK33" i="1"/>
  <c r="AM33" i="1"/>
  <c r="AJ33" i="1"/>
  <c r="AG33" i="1"/>
  <c r="AG32" i="1"/>
  <c r="AG35" i="1"/>
  <c r="AF33" i="1"/>
  <c r="AF32" i="1"/>
  <c r="AF35" i="1"/>
  <c r="AE33" i="1"/>
  <c r="AE32" i="1"/>
  <c r="AE35" i="1"/>
  <c r="AD33" i="1"/>
  <c r="AD32" i="1"/>
  <c r="AD35" i="1"/>
  <c r="AC33" i="1"/>
  <c r="AC32" i="1"/>
  <c r="AC35" i="1"/>
  <c r="E35" i="1"/>
  <c r="CL6" i="1"/>
  <c r="CL3" i="1"/>
  <c r="DA32" i="1"/>
  <c r="DA31" i="1"/>
  <c r="BE31" i="1"/>
  <c r="BB31" i="1"/>
  <c r="AV31" i="1"/>
  <c r="AS31" i="1"/>
  <c r="Z31" i="1"/>
  <c r="W31" i="1"/>
  <c r="W37" i="1"/>
  <c r="DA30" i="1"/>
  <c r="CU30" i="1"/>
  <c r="AM30" i="1"/>
  <c r="AV30" i="1"/>
  <c r="BE30" i="1"/>
  <c r="AJ30" i="1"/>
  <c r="AS30" i="1"/>
  <c r="BB30" i="1"/>
  <c r="K30" i="1"/>
  <c r="DA29" i="1"/>
  <c r="DA25" i="1"/>
  <c r="CU29" i="1"/>
  <c r="CU26" i="1"/>
  <c r="AG29" i="1"/>
  <c r="AF29" i="1"/>
  <c r="AE29" i="1"/>
  <c r="AD29" i="1"/>
  <c r="AC29" i="1"/>
  <c r="K29" i="1"/>
  <c r="K28" i="1"/>
  <c r="HE28" i="1"/>
  <c r="HE27" i="1"/>
  <c r="DA28" i="1"/>
  <c r="CU28" i="1"/>
  <c r="BW28" i="1"/>
  <c r="AG28" i="1"/>
  <c r="AF28" i="1"/>
  <c r="AE28" i="1"/>
  <c r="AD28" i="1"/>
  <c r="AC28" i="1"/>
  <c r="Z28" i="1"/>
  <c r="Z27" i="1"/>
  <c r="W28" i="1"/>
  <c r="W27" i="1"/>
  <c r="W40" i="1"/>
  <c r="HB27" i="1"/>
  <c r="GM27" i="1"/>
  <c r="FI27" i="1"/>
  <c r="ET27" i="1"/>
  <c r="DA27" i="1"/>
  <c r="DA24" i="1"/>
  <c r="CU27" i="1"/>
  <c r="K27" i="1"/>
  <c r="H27" i="1"/>
  <c r="DG26" i="1"/>
  <c r="BN26" i="1"/>
  <c r="BK26" i="1"/>
  <c r="K26" i="1"/>
  <c r="H26" i="1"/>
  <c r="H25" i="1"/>
  <c r="ET25" i="1"/>
  <c r="ET23" i="1"/>
  <c r="EE25" i="1"/>
  <c r="EE23" i="1"/>
  <c r="DP25" i="1"/>
  <c r="DP23" i="1"/>
  <c r="BN25" i="1"/>
  <c r="BN24" i="1"/>
  <c r="BK25" i="1"/>
  <c r="BK24" i="1"/>
  <c r="BE25" i="1"/>
  <c r="BE24" i="1"/>
  <c r="BB25" i="1"/>
  <c r="BB24" i="1"/>
  <c r="AV25" i="1"/>
  <c r="AV24" i="1"/>
  <c r="AS25" i="1"/>
  <c r="AS24" i="1"/>
  <c r="AM25" i="1"/>
  <c r="AM24" i="1"/>
  <c r="AJ25" i="1"/>
  <c r="AJ24" i="1"/>
  <c r="AJ20" i="1"/>
  <c r="Q25" i="1"/>
  <c r="Q24" i="1"/>
  <c r="Q20" i="1"/>
  <c r="N25" i="1"/>
  <c r="N24" i="1"/>
  <c r="N20" i="1"/>
  <c r="HB24" i="1"/>
  <c r="GM24" i="1"/>
  <c r="FX24" i="1"/>
  <c r="ET24" i="1"/>
  <c r="EE24" i="1"/>
  <c r="DP24" i="1"/>
  <c r="AG24" i="1"/>
  <c r="AF24" i="1"/>
  <c r="AE24" i="1"/>
  <c r="AD24" i="1"/>
  <c r="AC24" i="1"/>
  <c r="K24" i="1"/>
  <c r="H24" i="1"/>
  <c r="HB23" i="1"/>
  <c r="GM23" i="1"/>
  <c r="FX23" i="1"/>
  <c r="DG23" i="1"/>
  <c r="DG20" i="1"/>
  <c r="CF23" i="1"/>
  <c r="CF22" i="1"/>
  <c r="CC23" i="1"/>
  <c r="CC22" i="1"/>
  <c r="CC18" i="1"/>
  <c r="AG23" i="1"/>
  <c r="AF23" i="1"/>
  <c r="AE23" i="1"/>
  <c r="AD23" i="1"/>
  <c r="AC23" i="1"/>
  <c r="K23" i="1"/>
  <c r="H23" i="1"/>
  <c r="H22" i="1"/>
  <c r="CO22" i="1"/>
  <c r="K22" i="1"/>
  <c r="CO21" i="1"/>
  <c r="K21" i="1"/>
  <c r="CR20" i="1"/>
  <c r="AG20" i="1"/>
  <c r="AF20" i="1"/>
  <c r="AE20" i="1"/>
  <c r="AD20" i="1"/>
  <c r="AC20" i="1"/>
  <c r="H20" i="1"/>
  <c r="H19" i="1"/>
  <c r="H16" i="1"/>
  <c r="CX18" i="1"/>
  <c r="CX21" i="1"/>
  <c r="H18" i="1"/>
  <c r="E18" i="1"/>
  <c r="E21" i="1"/>
  <c r="H17" i="1"/>
  <c r="HB16" i="1"/>
  <c r="GM16" i="1"/>
  <c r="FX16" i="1"/>
  <c r="ET16" i="1"/>
  <c r="EE16" i="1"/>
  <c r="DP16" i="1"/>
  <c r="BK16" i="1"/>
  <c r="AP16" i="1"/>
  <c r="AM16" i="1"/>
  <c r="AJ16" i="1"/>
  <c r="BQ15" i="1"/>
  <c r="BN15" i="1"/>
  <c r="BK15" i="1"/>
  <c r="BB15" i="1"/>
  <c r="AS15" i="1"/>
  <c r="AJ15" i="1"/>
  <c r="FU14" i="1"/>
  <c r="BH14" i="1"/>
  <c r="BE14" i="1"/>
  <c r="BB14" i="1"/>
  <c r="AY14" i="1"/>
  <c r="AV14" i="1"/>
  <c r="AS14" i="1"/>
  <c r="Z14" i="1"/>
  <c r="Z17" i="1"/>
  <c r="W14" i="1"/>
  <c r="W17" i="1"/>
  <c r="DD11" i="1"/>
  <c r="CX13" i="1"/>
  <c r="CU13" i="1"/>
  <c r="CU12" i="1"/>
  <c r="CU11" i="1"/>
  <c r="AJ13" i="1"/>
  <c r="AS13" i="1"/>
  <c r="Z13" i="1"/>
  <c r="W13" i="1"/>
  <c r="T13" i="1"/>
  <c r="AP13" i="1"/>
  <c r="AY13" i="1"/>
  <c r="BH13" i="1"/>
  <c r="Q13" i="1"/>
  <c r="AM13" i="1"/>
  <c r="AV13" i="1"/>
  <c r="K13" i="1"/>
  <c r="K12" i="1"/>
  <c r="K11" i="1"/>
  <c r="K16" i="1"/>
  <c r="E13" i="1"/>
  <c r="B18" i="1"/>
  <c r="AD40" i="1"/>
  <c r="DA12" i="1"/>
  <c r="DA11" i="1"/>
  <c r="DA10" i="1"/>
  <c r="CX12" i="1"/>
  <c r="BZ12" i="1"/>
  <c r="BZ11" i="1"/>
  <c r="E12" i="1"/>
  <c r="DP11" i="1"/>
  <c r="DP6" i="1"/>
  <c r="DP10" i="1"/>
  <c r="DG10" i="1"/>
  <c r="CX10" i="1"/>
  <c r="Z10" i="1"/>
  <c r="W10" i="1"/>
  <c r="BT10" i="1"/>
  <c r="HB9" i="1"/>
  <c r="GY9" i="1"/>
  <c r="GV9" i="1"/>
  <c r="GM9" i="1"/>
  <c r="GJ9" i="1"/>
  <c r="GG9" i="1"/>
  <c r="FI9" i="1"/>
  <c r="FF9" i="1"/>
  <c r="FC9" i="1"/>
  <c r="ET9" i="1"/>
  <c r="EQ9" i="1"/>
  <c r="EN9" i="1"/>
  <c r="DA9" i="1"/>
  <c r="CU9" i="1"/>
  <c r="BQ9" i="1"/>
  <c r="BN9" i="1"/>
  <c r="BK9" i="1"/>
  <c r="H9" i="1"/>
  <c r="HE8" i="1"/>
  <c r="HE7" i="1"/>
  <c r="HD3" i="1"/>
  <c r="DA8" i="1"/>
  <c r="CU8" i="1"/>
  <c r="CI8" i="1"/>
  <c r="CI7" i="1"/>
  <c r="CI3" i="1"/>
  <c r="CF8" i="1"/>
  <c r="CF7" i="1"/>
  <c r="CC8" i="1"/>
  <c r="CC7" i="1"/>
  <c r="CC3" i="1"/>
  <c r="BQ8" i="1"/>
  <c r="BQ7" i="1"/>
  <c r="BN8" i="1"/>
  <c r="BN7" i="1"/>
  <c r="BK8" i="1"/>
  <c r="BK7" i="1"/>
  <c r="BK3" i="1"/>
  <c r="BH8" i="1"/>
  <c r="BE8" i="1"/>
  <c r="BE7" i="1"/>
  <c r="BB8" i="1"/>
  <c r="BB7" i="1"/>
  <c r="BB3" i="1"/>
  <c r="AY8" i="1"/>
  <c r="AY7" i="1"/>
  <c r="AV8" i="1"/>
  <c r="AS8" i="1"/>
  <c r="AS7" i="1"/>
  <c r="AP8" i="1"/>
  <c r="AP7" i="1"/>
  <c r="AM8" i="1"/>
  <c r="AM7" i="1"/>
  <c r="AJ8" i="1"/>
  <c r="AJ7" i="1"/>
  <c r="T8" i="1"/>
  <c r="T7" i="1"/>
  <c r="T3" i="1"/>
  <c r="Q8" i="1"/>
  <c r="Q7" i="1"/>
  <c r="Q3" i="1"/>
  <c r="N8" i="1"/>
  <c r="N7" i="1"/>
  <c r="N3" i="1"/>
  <c r="H8" i="1"/>
  <c r="BW8" i="1"/>
  <c r="ET7" i="1"/>
  <c r="EQ7" i="1"/>
  <c r="EQ5" i="1"/>
  <c r="EN7" i="1"/>
  <c r="EN5" i="1"/>
  <c r="EE7" i="1"/>
  <c r="EE5" i="1"/>
  <c r="EB7" i="1"/>
  <c r="EB5" i="1"/>
  <c r="DY7" i="1"/>
  <c r="DY5" i="1"/>
  <c r="DP7" i="1"/>
  <c r="DM7" i="1"/>
  <c r="DM5" i="1"/>
  <c r="DJ7" i="1"/>
  <c r="DJ5" i="1"/>
  <c r="DA7" i="1"/>
  <c r="CX7" i="1"/>
  <c r="CX6" i="1"/>
  <c r="CU7" i="1"/>
  <c r="CO7" i="1"/>
  <c r="BT7" i="1"/>
  <c r="BT6" i="1"/>
  <c r="BH7" i="1"/>
  <c r="AV7" i="1"/>
  <c r="Z7" i="1"/>
  <c r="Z6" i="1"/>
  <c r="Z18" i="1"/>
  <c r="W7" i="1"/>
  <c r="W6" i="1"/>
  <c r="H7" i="1"/>
  <c r="H11" i="1"/>
  <c r="HB6" i="1"/>
  <c r="GY6" i="1"/>
  <c r="GV6" i="1"/>
  <c r="GP6" i="1"/>
  <c r="GM6" i="1"/>
  <c r="GJ6" i="1"/>
  <c r="GG6" i="1"/>
  <c r="GA6" i="1"/>
  <c r="FX6" i="1"/>
  <c r="FU6" i="1"/>
  <c r="FL6" i="1"/>
  <c r="FI6" i="1"/>
  <c r="FF6" i="1"/>
  <c r="FC6" i="1"/>
  <c r="EW6" i="1"/>
  <c r="ET6" i="1"/>
  <c r="EQ6" i="1"/>
  <c r="EN6" i="1"/>
  <c r="EH6" i="1"/>
  <c r="EE6" i="1"/>
  <c r="EB6" i="1"/>
  <c r="DY6" i="1"/>
  <c r="DS6" i="1"/>
  <c r="DM6" i="1"/>
  <c r="DJ6" i="1"/>
  <c r="DD6" i="1"/>
  <c r="DD7" i="1"/>
  <c r="DA6" i="1"/>
  <c r="DA13" i="1"/>
  <c r="CU6" i="1"/>
  <c r="CO6" i="1"/>
  <c r="H6" i="1"/>
  <c r="H15" i="1"/>
  <c r="H10" i="1"/>
  <c r="HB5" i="1"/>
  <c r="GY5" i="1"/>
  <c r="GV5" i="1"/>
  <c r="GS5" i="1"/>
  <c r="GM5" i="1"/>
  <c r="GM3" i="1"/>
  <c r="GJ5" i="1"/>
  <c r="GG5" i="1"/>
  <c r="GD5" i="1"/>
  <c r="FX5" i="1"/>
  <c r="FU5" i="1"/>
  <c r="FR5" i="1"/>
  <c r="FI5" i="1"/>
  <c r="FI3" i="1"/>
  <c r="FF5" i="1"/>
  <c r="FC5" i="1"/>
  <c r="EZ5" i="1"/>
  <c r="ET5" i="1"/>
  <c r="EK5" i="1"/>
  <c r="FX3" i="1"/>
  <c r="J42" i="5"/>
  <c r="DG16" i="11"/>
  <c r="DG7" i="11"/>
  <c r="DG6" i="11"/>
  <c r="HD23" i="10"/>
  <c r="CU10" i="9"/>
  <c r="K10" i="7"/>
  <c r="K10" i="9"/>
  <c r="AM20" i="6"/>
  <c r="Z4" i="6"/>
  <c r="FR3" i="11"/>
  <c r="CU24" i="11"/>
  <c r="FO3" i="11"/>
  <c r="DA23" i="11"/>
  <c r="GJ3" i="11"/>
  <c r="FL3" i="11"/>
  <c r="E21" i="9"/>
  <c r="AD40" i="9"/>
  <c r="E23" i="9"/>
  <c r="AE40" i="9"/>
  <c r="E38" i="6"/>
  <c r="E31" i="6"/>
  <c r="AS20" i="6"/>
  <c r="BK20" i="6"/>
  <c r="AJ3" i="6"/>
  <c r="E23" i="6"/>
  <c r="Z25" i="8"/>
  <c r="Z4" i="8"/>
  <c r="E38" i="8"/>
  <c r="E31" i="8"/>
  <c r="BW3" i="7"/>
  <c r="W25" i="7"/>
  <c r="DP5" i="1"/>
  <c r="BW7" i="1"/>
  <c r="BW9" i="1"/>
  <c r="BZ9" i="1"/>
  <c r="CU10" i="1"/>
  <c r="Z39" i="1"/>
  <c r="DG16" i="8"/>
  <c r="DG7" i="8"/>
  <c r="DG11" i="8"/>
  <c r="CX3" i="6"/>
  <c r="FR3" i="7"/>
  <c r="CU24" i="7"/>
  <c r="E22" i="7"/>
  <c r="E21" i="7"/>
  <c r="E23" i="7"/>
  <c r="CO18" i="7"/>
  <c r="GG3" i="8"/>
  <c r="CU23" i="8"/>
  <c r="Z3" i="8"/>
  <c r="AY3" i="8"/>
  <c r="H56" i="8"/>
  <c r="K10" i="8"/>
  <c r="E23" i="8"/>
  <c r="EK3" i="6"/>
  <c r="DA20" i="6"/>
  <c r="W25" i="6"/>
  <c r="AE40" i="1"/>
  <c r="H12" i="1"/>
  <c r="AC40" i="1"/>
  <c r="DG5" i="8"/>
  <c r="DG6" i="8"/>
  <c r="GG3" i="7"/>
  <c r="CU23" i="7"/>
  <c r="GA3" i="7"/>
  <c r="H51" i="8"/>
  <c r="CO18" i="11"/>
  <c r="BZ3" i="10"/>
  <c r="BK3" i="9"/>
  <c r="FF3" i="11"/>
  <c r="EW3" i="11"/>
  <c r="AD3" i="11"/>
  <c r="FC3" i="11"/>
  <c r="CU19" i="11"/>
  <c r="EZ3" i="11"/>
  <c r="DA18" i="11"/>
  <c r="H16" i="8"/>
  <c r="H21" i="8"/>
  <c r="H12" i="8"/>
  <c r="H25" i="8"/>
  <c r="H22" i="8"/>
  <c r="H14" i="8"/>
  <c r="H15" i="8"/>
  <c r="H10" i="8"/>
  <c r="H22" i="7"/>
  <c r="H25" i="7"/>
  <c r="H21" i="7"/>
  <c r="H12" i="7"/>
  <c r="H15" i="7"/>
  <c r="H10" i="7"/>
  <c r="H16" i="7"/>
  <c r="H11" i="6"/>
  <c r="H12" i="6"/>
  <c r="CR18" i="7"/>
  <c r="CR3" i="7"/>
  <c r="Z4" i="7"/>
  <c r="BT4" i="7"/>
  <c r="CR3" i="8"/>
  <c r="CR18" i="8"/>
  <c r="BW3" i="8"/>
  <c r="BT3" i="8"/>
  <c r="CX3" i="8"/>
  <c r="H11" i="8"/>
  <c r="W4" i="8"/>
  <c r="BQ3" i="6"/>
  <c r="GY3" i="6"/>
  <c r="GP3" i="6"/>
  <c r="GV3" i="6"/>
  <c r="CU20" i="6"/>
  <c r="FF3" i="6"/>
  <c r="EW3" i="6"/>
  <c r="DJ3" i="6"/>
  <c r="CU17" i="6"/>
  <c r="FC3" i="6"/>
  <c r="CU19" i="6"/>
  <c r="CR18" i="6"/>
  <c r="DS3" i="6"/>
  <c r="CR3" i="6"/>
  <c r="EZ3" i="6"/>
  <c r="DA18" i="6"/>
  <c r="GG3" i="6"/>
  <c r="CU23" i="6"/>
  <c r="E54" i="6"/>
  <c r="E44" i="6"/>
  <c r="BW3" i="6"/>
  <c r="H10" i="6"/>
  <c r="W4" i="6"/>
  <c r="AE3" i="6"/>
  <c r="BT3" i="6"/>
  <c r="CL21" i="1"/>
  <c r="CL18" i="1"/>
  <c r="E38" i="1"/>
  <c r="E31" i="1"/>
  <c r="BW6" i="1"/>
  <c r="W39" i="1"/>
  <c r="W24" i="1"/>
  <c r="EE3" i="1"/>
  <c r="AP3" i="1"/>
  <c r="EH7" i="1"/>
  <c r="EH3" i="1"/>
  <c r="AS3" i="1"/>
  <c r="BQ3" i="1"/>
  <c r="AJ3" i="1"/>
  <c r="E11" i="1"/>
  <c r="E20" i="1"/>
  <c r="BK20" i="1"/>
  <c r="GP7" i="1"/>
  <c r="GY3" i="1"/>
  <c r="ET3" i="1"/>
  <c r="BN3" i="1"/>
  <c r="AV20" i="1"/>
  <c r="BN20" i="1"/>
  <c r="CU25" i="1"/>
  <c r="CU14" i="1"/>
  <c r="CX11" i="1"/>
  <c r="CX20" i="1"/>
  <c r="CX3" i="1"/>
  <c r="AS20" i="1"/>
  <c r="FL7" i="1"/>
  <c r="FU3" i="1"/>
  <c r="EW7" i="1"/>
  <c r="FC3" i="1"/>
  <c r="CU19" i="1"/>
  <c r="DA15" i="1"/>
  <c r="BW10" i="1"/>
  <c r="BW12" i="1"/>
  <c r="AV3" i="1"/>
  <c r="BE13" i="1"/>
  <c r="BE3" i="1"/>
  <c r="Z16" i="1"/>
  <c r="Z4" i="1"/>
  <c r="BB20" i="1"/>
  <c r="DP3" i="1"/>
  <c r="Z25" i="1"/>
  <c r="GA7" i="1"/>
  <c r="GG3" i="1"/>
  <c r="CU23" i="1"/>
  <c r="AM3" i="1"/>
  <c r="K20" i="1"/>
  <c r="AM20" i="1"/>
  <c r="BE20" i="1"/>
  <c r="HD23" i="1"/>
  <c r="AY3" i="1"/>
  <c r="K10" i="1"/>
  <c r="W16" i="1"/>
  <c r="BH3" i="1"/>
  <c r="E52" i="1"/>
  <c r="E42" i="1"/>
  <c r="Z37" i="1"/>
  <c r="Z38" i="1"/>
  <c r="DG16" i="1"/>
  <c r="DG7" i="1"/>
  <c r="DG11" i="1"/>
  <c r="BZ10" i="1"/>
  <c r="BZ15" i="1"/>
  <c r="W19" i="1"/>
  <c r="W18" i="1"/>
  <c r="CO3" i="1"/>
  <c r="AC38" i="1"/>
  <c r="K19" i="1"/>
  <c r="DA14" i="1"/>
  <c r="E22" i="1"/>
  <c r="BS35" i="1"/>
  <c r="AD38" i="1"/>
  <c r="K25" i="1"/>
  <c r="DS7" i="1"/>
  <c r="DY3" i="1"/>
  <c r="CU22" i="1"/>
  <c r="CO18" i="1"/>
  <c r="CR18" i="1"/>
  <c r="GS3" i="1"/>
  <c r="DA19" i="1"/>
  <c r="EQ3" i="1"/>
  <c r="W4" i="1"/>
  <c r="GD3" i="12"/>
  <c r="DA22" i="12"/>
  <c r="FO3" i="12"/>
  <c r="DA23" i="12"/>
  <c r="FL3" i="12"/>
  <c r="GP3" i="12"/>
  <c r="HB3" i="12"/>
  <c r="Z3" i="12"/>
  <c r="EB3" i="12"/>
  <c r="E4" i="12"/>
  <c r="CO3" i="12"/>
  <c r="GA3" i="11"/>
  <c r="GG3" i="11"/>
  <c r="CU23" i="11"/>
  <c r="GS3" i="11"/>
  <c r="DA19" i="11"/>
  <c r="CX4" i="11"/>
  <c r="AC3" i="11"/>
  <c r="CX3" i="11"/>
  <c r="GD3" i="11"/>
  <c r="DA22" i="11"/>
  <c r="AE3" i="11"/>
  <c r="GY3" i="10"/>
  <c r="GP3" i="10"/>
  <c r="GS3" i="10"/>
  <c r="DA19" i="10"/>
  <c r="HB3" i="10"/>
  <c r="GG3" i="10"/>
  <c r="CU23" i="10"/>
  <c r="CO18" i="10"/>
  <c r="EN3" i="10"/>
  <c r="CU21" i="10"/>
  <c r="BT3" i="10"/>
  <c r="K3" i="10"/>
  <c r="CR18" i="9"/>
  <c r="K3" i="12"/>
  <c r="DP3" i="8"/>
  <c r="H50" i="8"/>
  <c r="CO3" i="7"/>
  <c r="DD3" i="7"/>
  <c r="DJ3" i="7"/>
  <c r="CU17" i="7"/>
  <c r="EW3" i="7"/>
  <c r="FC3" i="7"/>
  <c r="CU19" i="7"/>
  <c r="EZ3" i="7"/>
  <c r="DA18" i="7"/>
  <c r="FF3" i="7"/>
  <c r="FO3" i="7"/>
  <c r="DA23" i="7"/>
  <c r="FU3" i="7"/>
  <c r="BK3" i="7"/>
  <c r="H11" i="7"/>
  <c r="K18" i="7"/>
  <c r="K17" i="7"/>
  <c r="Z25" i="7"/>
  <c r="GJ3" i="7"/>
  <c r="E4" i="7"/>
  <c r="E38" i="7"/>
  <c r="E31" i="7"/>
  <c r="AC3" i="10"/>
  <c r="AE3" i="10"/>
  <c r="AD3" i="12"/>
  <c r="CF18" i="9"/>
  <c r="CC18" i="9"/>
  <c r="CF3" i="9"/>
  <c r="CF18" i="7"/>
  <c r="CC18" i="7"/>
  <c r="W4" i="7"/>
  <c r="Z3" i="6"/>
  <c r="EK3" i="12"/>
  <c r="DA20" i="12"/>
  <c r="EH3" i="12"/>
  <c r="EQ3" i="12"/>
  <c r="DS3" i="12"/>
  <c r="DP3" i="12"/>
  <c r="FU3" i="12"/>
  <c r="W3" i="12"/>
  <c r="CX4" i="12"/>
  <c r="GJ3" i="12"/>
  <c r="W24" i="12"/>
  <c r="H3" i="12"/>
  <c r="AE3" i="12"/>
  <c r="EN3" i="12"/>
  <c r="CU21" i="12"/>
  <c r="GS3" i="12"/>
  <c r="DA19" i="12"/>
  <c r="FR3" i="12"/>
  <c r="CU24" i="12"/>
  <c r="GG3" i="12"/>
  <c r="CU23" i="12"/>
  <c r="BZ3" i="12"/>
  <c r="GV3" i="12"/>
  <c r="CU20" i="12"/>
  <c r="GY3" i="12"/>
  <c r="BT3" i="12"/>
  <c r="AC3" i="12"/>
  <c r="DV3" i="11"/>
  <c r="DA21" i="11"/>
  <c r="DS3" i="11"/>
  <c r="EB3" i="11"/>
  <c r="DY3" i="11"/>
  <c r="CU22" i="11"/>
  <c r="GP3" i="11"/>
  <c r="W24" i="11"/>
  <c r="GV3" i="11"/>
  <c r="CU20" i="11"/>
  <c r="DM3" i="11"/>
  <c r="FF3" i="10"/>
  <c r="FC3" i="10"/>
  <c r="CU19" i="10"/>
  <c r="EZ3" i="10"/>
  <c r="DA18" i="10"/>
  <c r="GV3" i="10"/>
  <c r="CU20" i="10"/>
  <c r="BT4" i="10"/>
  <c r="DP3" i="10"/>
  <c r="FU3" i="10"/>
  <c r="E52" i="9"/>
  <c r="E42" i="9"/>
  <c r="HD3" i="7"/>
  <c r="DG16" i="7"/>
  <c r="DG7" i="7"/>
  <c r="DG11" i="7"/>
  <c r="DV3" i="7"/>
  <c r="DA21" i="7"/>
  <c r="DS3" i="7"/>
  <c r="EB3" i="7"/>
  <c r="DY3" i="7"/>
  <c r="CU22" i="7"/>
  <c r="CX4" i="7"/>
  <c r="CX3" i="7"/>
  <c r="H56" i="7"/>
  <c r="H61" i="7"/>
  <c r="H52" i="7"/>
  <c r="EK3" i="7"/>
  <c r="DA20" i="7"/>
  <c r="EH3" i="7"/>
  <c r="EN3" i="7"/>
  <c r="CU21" i="7"/>
  <c r="EQ3" i="7"/>
  <c r="GY3" i="7"/>
  <c r="GP3" i="7"/>
  <c r="GV3" i="7"/>
  <c r="CU20" i="7"/>
  <c r="GS3" i="7"/>
  <c r="DA19" i="7"/>
  <c r="HB3" i="7"/>
  <c r="FL3" i="7"/>
  <c r="GD3" i="7"/>
  <c r="DA22" i="7"/>
  <c r="E20" i="7"/>
  <c r="E3" i="7"/>
  <c r="DM3" i="7"/>
  <c r="K14" i="8"/>
  <c r="DJ3" i="8"/>
  <c r="CU17" i="8"/>
  <c r="DD3" i="8"/>
  <c r="DG3" i="8"/>
  <c r="DA16" i="8"/>
  <c r="DM3" i="8"/>
  <c r="BZ3" i="8"/>
  <c r="FU3" i="8"/>
  <c r="FR3" i="8"/>
  <c r="CU24" i="8"/>
  <c r="FO3" i="8"/>
  <c r="DA23" i="8"/>
  <c r="GJ3" i="8"/>
  <c r="GD3" i="8"/>
  <c r="DA22" i="8"/>
  <c r="FL3" i="8"/>
  <c r="EW3" i="8"/>
  <c r="FC3" i="8"/>
  <c r="CU19" i="8"/>
  <c r="EZ3" i="8"/>
  <c r="DA18" i="8"/>
  <c r="FF3" i="8"/>
  <c r="E20" i="8"/>
  <c r="E3" i="8"/>
  <c r="E22" i="8"/>
  <c r="E4" i="8"/>
  <c r="K16" i="8"/>
  <c r="K15" i="8"/>
  <c r="GS3" i="8"/>
  <c r="DA19" i="8"/>
  <c r="GP3" i="8"/>
  <c r="HB3" i="8"/>
  <c r="GV3" i="8"/>
  <c r="CU20" i="8"/>
  <c r="GY3" i="8"/>
  <c r="DV3" i="8"/>
  <c r="DA21" i="8"/>
  <c r="DS3" i="8"/>
  <c r="EB3" i="8"/>
  <c r="DY3" i="8"/>
  <c r="CU22" i="8"/>
  <c r="EH3" i="8"/>
  <c r="EK3" i="8"/>
  <c r="DA20" i="8"/>
  <c r="EQ3" i="8"/>
  <c r="EN3" i="8"/>
  <c r="CU21" i="8"/>
  <c r="W24" i="8"/>
  <c r="CO18" i="6"/>
  <c r="K15" i="6"/>
  <c r="DD3" i="6"/>
  <c r="DM3" i="6"/>
  <c r="DG11" i="6"/>
  <c r="DG16" i="6"/>
  <c r="DG7" i="6"/>
  <c r="H56" i="6"/>
  <c r="H51" i="6"/>
  <c r="H61" i="6"/>
  <c r="H52" i="6"/>
  <c r="E20" i="6"/>
  <c r="E3" i="6"/>
  <c r="E22" i="6"/>
  <c r="E4" i="6"/>
  <c r="CU3" i="6"/>
  <c r="GD3" i="6"/>
  <c r="DA22" i="6"/>
  <c r="FU3" i="6"/>
  <c r="GJ3" i="6"/>
  <c r="FO3" i="6"/>
  <c r="DA23" i="6"/>
  <c r="FR3" i="6"/>
  <c r="CU24" i="6"/>
  <c r="FL3" i="6"/>
  <c r="Z25" i="6"/>
  <c r="K14" i="6"/>
  <c r="H14" i="6"/>
  <c r="DY3" i="6"/>
  <c r="CU22" i="6"/>
  <c r="DV3" i="6"/>
  <c r="DA21" i="6"/>
  <c r="EB3" i="6"/>
  <c r="EQ3" i="6"/>
  <c r="HB3" i="6"/>
  <c r="EH3" i="6"/>
  <c r="GS3" i="6"/>
  <c r="DA19" i="6"/>
  <c r="CO3" i="6"/>
  <c r="CF18" i="1"/>
  <c r="CF3" i="1"/>
  <c r="CX22" i="1"/>
  <c r="CX23" i="1"/>
  <c r="AD39" i="1"/>
  <c r="AD37" i="1"/>
  <c r="AG40" i="1"/>
  <c r="AG37" i="1"/>
  <c r="AF39" i="1"/>
  <c r="AF37" i="1"/>
  <c r="E3" i="1"/>
  <c r="H50" i="1"/>
  <c r="H51" i="1"/>
  <c r="CU15" i="1"/>
  <c r="CU16" i="1"/>
  <c r="AC37" i="1"/>
  <c r="AC39" i="1"/>
  <c r="GA3" i="1"/>
  <c r="EZ3" i="1"/>
  <c r="DA18" i="1"/>
  <c r="FF3" i="1"/>
  <c r="EW3" i="1"/>
  <c r="W25" i="1"/>
  <c r="AE37" i="1"/>
  <c r="AE38" i="1"/>
  <c r="AE39" i="1"/>
  <c r="BT19" i="1"/>
  <c r="BT22" i="1"/>
  <c r="E23" i="1"/>
  <c r="E4" i="1"/>
  <c r="CR5" i="1"/>
  <c r="CR3" i="1"/>
  <c r="K15" i="1"/>
  <c r="K14" i="1"/>
  <c r="FO3" i="1"/>
  <c r="DA23" i="1"/>
  <c r="GD3" i="1"/>
  <c r="DA22" i="1"/>
  <c r="GV3" i="1"/>
  <c r="CU20" i="1"/>
  <c r="H61" i="1"/>
  <c r="H52" i="1"/>
  <c r="K18" i="1"/>
  <c r="K17" i="1"/>
  <c r="FR3" i="1"/>
  <c r="CU24" i="1"/>
  <c r="Z19" i="1"/>
  <c r="Z3" i="1"/>
  <c r="FL3" i="1"/>
  <c r="GJ3" i="1"/>
  <c r="HD23" i="7"/>
  <c r="Z3" i="7"/>
  <c r="AE3" i="7"/>
  <c r="W3" i="7"/>
  <c r="K15" i="7"/>
  <c r="BT4" i="12"/>
  <c r="BT3" i="11"/>
  <c r="BT4" i="11"/>
  <c r="H3" i="11"/>
  <c r="K3" i="11"/>
  <c r="W3" i="11"/>
  <c r="W3" i="10"/>
  <c r="Z3" i="10"/>
  <c r="H3" i="10"/>
  <c r="DG11" i="12"/>
  <c r="DG16" i="12"/>
  <c r="DG7" i="12"/>
  <c r="EZ3" i="12"/>
  <c r="DA18" i="12"/>
  <c r="FF3" i="12"/>
  <c r="FC3" i="12"/>
  <c r="CU19" i="12"/>
  <c r="EW3" i="12"/>
  <c r="EH3" i="10"/>
  <c r="EK3" i="10"/>
  <c r="DA20" i="10"/>
  <c r="EW3" i="10"/>
  <c r="EQ3" i="10"/>
  <c r="FL3" i="10"/>
  <c r="GD3" i="10"/>
  <c r="DA22" i="10"/>
  <c r="FO3" i="10"/>
  <c r="DA23" i="10"/>
  <c r="GJ3" i="10"/>
  <c r="DY3" i="10"/>
  <c r="CU22" i="10"/>
  <c r="DG16" i="10"/>
  <c r="DG7" i="10"/>
  <c r="DG11" i="10"/>
  <c r="EH3" i="11"/>
  <c r="EK3" i="11"/>
  <c r="DA20" i="11"/>
  <c r="EQ3" i="11"/>
  <c r="EN3" i="11"/>
  <c r="CU21" i="11"/>
  <c r="GY3" i="11"/>
  <c r="GP7" i="9"/>
  <c r="HB3" i="9"/>
  <c r="Z39" i="9"/>
  <c r="BW3" i="9"/>
  <c r="CU15" i="9"/>
  <c r="Z19" i="9"/>
  <c r="Z18" i="9"/>
  <c r="DG16" i="9"/>
  <c r="DG7" i="9"/>
  <c r="DG11" i="9"/>
  <c r="DG6" i="9"/>
  <c r="CI3" i="9"/>
  <c r="AE37" i="9"/>
  <c r="W16" i="9"/>
  <c r="W4" i="9"/>
  <c r="W37" i="9"/>
  <c r="W25" i="9"/>
  <c r="CL6" i="9"/>
  <c r="CL3" i="9"/>
  <c r="CR3" i="9"/>
  <c r="AE39" i="9"/>
  <c r="H12" i="9"/>
  <c r="T3" i="9"/>
  <c r="EW7" i="9"/>
  <c r="FF3" i="9"/>
  <c r="E22" i="9"/>
  <c r="E4" i="9"/>
  <c r="BT4" i="9"/>
  <c r="K14" i="9"/>
  <c r="AE38" i="9"/>
  <c r="DA13" i="9"/>
  <c r="E38" i="9"/>
  <c r="E31" i="9"/>
  <c r="Z16" i="9"/>
  <c r="Z4" i="9"/>
  <c r="H11" i="9"/>
  <c r="CU14" i="9"/>
  <c r="DA14" i="9"/>
  <c r="BE20" i="9"/>
  <c r="AV20" i="9"/>
  <c r="AY3" i="9"/>
  <c r="H56" i="9"/>
  <c r="H61" i="9"/>
  <c r="H52" i="9"/>
  <c r="W19" i="9"/>
  <c r="W18" i="9"/>
  <c r="CX22" i="9"/>
  <c r="CX23" i="9"/>
  <c r="AV3" i="9"/>
  <c r="EE3" i="9"/>
  <c r="BH3" i="9"/>
  <c r="H10" i="9"/>
  <c r="K15" i="9"/>
  <c r="GA7" i="9"/>
  <c r="GA3" i="9"/>
  <c r="AM3" i="9"/>
  <c r="DP3" i="9"/>
  <c r="AS20" i="9"/>
  <c r="Z40" i="9"/>
  <c r="FL7" i="9"/>
  <c r="FL3" i="9"/>
  <c r="CX20" i="9"/>
  <c r="CX3" i="9"/>
  <c r="BE3" i="9"/>
  <c r="CU16" i="9"/>
  <c r="DS7" i="9"/>
  <c r="EB3" i="9"/>
  <c r="W40" i="9"/>
  <c r="W39" i="9"/>
  <c r="Z37" i="9"/>
  <c r="Z38" i="9"/>
  <c r="AC37" i="9"/>
  <c r="AC39" i="9"/>
  <c r="AC38" i="9"/>
  <c r="AF37" i="9"/>
  <c r="AF39" i="9"/>
  <c r="CO18" i="9"/>
  <c r="AG40" i="9"/>
  <c r="AG37" i="9"/>
  <c r="EN3" i="9"/>
  <c r="CU21" i="9"/>
  <c r="EH3" i="9"/>
  <c r="EK3" i="9"/>
  <c r="DA20" i="9"/>
  <c r="EQ3" i="9"/>
  <c r="AD37" i="9"/>
  <c r="AD39" i="9"/>
  <c r="AD38" i="9"/>
  <c r="CU18" i="7"/>
  <c r="DA17" i="7"/>
  <c r="CU18" i="8"/>
  <c r="DA17" i="8"/>
  <c r="DA17" i="6"/>
  <c r="CU18" i="6"/>
  <c r="GY3" i="9"/>
  <c r="EW3" i="9"/>
  <c r="CO3" i="9"/>
  <c r="BT3" i="7"/>
  <c r="BT4" i="8"/>
  <c r="E20" i="9"/>
  <c r="E3" i="9"/>
  <c r="H13" i="8"/>
  <c r="H3" i="8"/>
  <c r="HE26" i="8"/>
  <c r="HD24" i="8"/>
  <c r="H14" i="7"/>
  <c r="Z24" i="7"/>
  <c r="AC3" i="7"/>
  <c r="W3" i="8"/>
  <c r="DA3" i="8"/>
  <c r="CX4" i="8"/>
  <c r="EK3" i="1"/>
  <c r="DA20" i="1"/>
  <c r="DV3" i="1"/>
  <c r="DA21" i="1"/>
  <c r="EN3" i="1"/>
  <c r="CU21" i="1"/>
  <c r="AD3" i="1"/>
  <c r="HB3" i="1"/>
  <c r="GP3" i="1"/>
  <c r="EB3" i="1"/>
  <c r="DS3" i="1"/>
  <c r="BW3" i="1"/>
  <c r="BZ13" i="1"/>
  <c r="B31" i="9"/>
  <c r="AF41" i="9"/>
  <c r="AF38" i="9"/>
  <c r="AF3" i="9"/>
  <c r="AF3" i="11"/>
  <c r="AF3" i="10"/>
  <c r="AF3" i="12"/>
  <c r="B19" i="1"/>
  <c r="AF41" i="1"/>
  <c r="AF38" i="1"/>
  <c r="AF3" i="1"/>
  <c r="AF3" i="7"/>
  <c r="W3" i="1"/>
  <c r="DG5" i="1"/>
  <c r="DG6" i="1"/>
  <c r="BT21" i="1"/>
  <c r="BT3" i="1"/>
  <c r="BT24" i="1"/>
  <c r="BZ14" i="1"/>
  <c r="BT23" i="1"/>
  <c r="Z24" i="1"/>
  <c r="H14" i="1"/>
  <c r="H13" i="1"/>
  <c r="H3" i="1"/>
  <c r="K3" i="1"/>
  <c r="BZ3" i="6"/>
  <c r="DM3" i="12"/>
  <c r="DD3" i="12"/>
  <c r="DJ3" i="12"/>
  <c r="DV3" i="12"/>
  <c r="DA21" i="12"/>
  <c r="DY3" i="12"/>
  <c r="CU22" i="12"/>
  <c r="GJ3" i="9"/>
  <c r="W3" i="9"/>
  <c r="GG3" i="9"/>
  <c r="CU23" i="9"/>
  <c r="K3" i="7"/>
  <c r="DG3" i="11"/>
  <c r="DD3" i="11"/>
  <c r="DJ3" i="11"/>
  <c r="DS3" i="10"/>
  <c r="EB3" i="10"/>
  <c r="DV3" i="10"/>
  <c r="DA21" i="10"/>
  <c r="Z25" i="9"/>
  <c r="GV3" i="9"/>
  <c r="CU20" i="9"/>
  <c r="GP3" i="9"/>
  <c r="GS3" i="9"/>
  <c r="DA19" i="9"/>
  <c r="FO3" i="9"/>
  <c r="DA23" i="9"/>
  <c r="Z3" i="9"/>
  <c r="H51" i="7"/>
  <c r="H50" i="7"/>
  <c r="DG5" i="7"/>
  <c r="DG6" i="7"/>
  <c r="Z24" i="8"/>
  <c r="HE6" i="8"/>
  <c r="HD4" i="8"/>
  <c r="AD3" i="8"/>
  <c r="AE3" i="8"/>
  <c r="AC3" i="8"/>
  <c r="CU3" i="8"/>
  <c r="K3" i="8"/>
  <c r="CX4" i="6"/>
  <c r="W3" i="6"/>
  <c r="DG6" i="6"/>
  <c r="DG5" i="6"/>
  <c r="DG3" i="6"/>
  <c r="K3" i="6"/>
  <c r="BT4" i="6"/>
  <c r="AC3" i="6"/>
  <c r="AD3" i="6"/>
  <c r="H50" i="6"/>
  <c r="H13" i="6"/>
  <c r="H3" i="6"/>
  <c r="DJ3" i="1"/>
  <c r="CU17" i="1"/>
  <c r="CU3" i="1"/>
  <c r="DM3" i="1"/>
  <c r="DD3" i="1"/>
  <c r="CX4" i="1"/>
  <c r="AE3" i="1"/>
  <c r="AC3" i="1"/>
  <c r="AG3" i="7"/>
  <c r="B20" i="1"/>
  <c r="AG42" i="1"/>
  <c r="AG39" i="1"/>
  <c r="AG3" i="1"/>
  <c r="AG3" i="10"/>
  <c r="B32" i="9"/>
  <c r="AG42" i="9"/>
  <c r="AG39" i="9"/>
  <c r="AG3" i="9"/>
  <c r="AG3" i="11"/>
  <c r="AG3" i="12"/>
  <c r="W24" i="7"/>
  <c r="AD3" i="7"/>
  <c r="BZ3" i="7"/>
  <c r="CU3" i="7"/>
  <c r="DG6" i="12"/>
  <c r="DG5" i="12"/>
  <c r="DG3" i="12"/>
  <c r="HE26" i="10"/>
  <c r="HD24" i="10"/>
  <c r="HE6" i="10"/>
  <c r="HD4" i="10"/>
  <c r="DJ3" i="10"/>
  <c r="DD3" i="10"/>
  <c r="DM3" i="10"/>
  <c r="DG5" i="10"/>
  <c r="DG6" i="10"/>
  <c r="FR3" i="9"/>
  <c r="CU24" i="9"/>
  <c r="FU3" i="9"/>
  <c r="GD3" i="9"/>
  <c r="DA22" i="9"/>
  <c r="DG5" i="9"/>
  <c r="FC3" i="9"/>
  <c r="CU19" i="9"/>
  <c r="H14" i="9"/>
  <c r="AE3" i="9"/>
  <c r="EZ3" i="9"/>
  <c r="DA18" i="9"/>
  <c r="W24" i="9"/>
  <c r="BT3" i="9"/>
  <c r="DD7" i="9"/>
  <c r="DM3" i="9"/>
  <c r="DY3" i="9"/>
  <c r="CU22" i="9"/>
  <c r="DV3" i="9"/>
  <c r="DA21" i="9"/>
  <c r="DS3" i="9"/>
  <c r="BZ3" i="9"/>
  <c r="K18" i="9"/>
  <c r="K17" i="9"/>
  <c r="K3" i="9"/>
  <c r="AD3" i="9"/>
  <c r="CX4" i="9"/>
  <c r="H51" i="9"/>
  <c r="H50" i="9"/>
  <c r="AC3" i="9"/>
  <c r="Z24" i="9"/>
  <c r="CU17" i="12"/>
  <c r="CU3" i="12"/>
  <c r="CU18" i="12"/>
  <c r="DA17" i="12"/>
  <c r="DA16" i="12"/>
  <c r="DA3" i="12"/>
  <c r="CU17" i="11"/>
  <c r="CU3" i="11"/>
  <c r="CU18" i="11"/>
  <c r="DA17" i="11"/>
  <c r="DA16" i="11"/>
  <c r="DA3" i="11"/>
  <c r="CU17" i="10"/>
  <c r="CU3" i="10"/>
  <c r="CU18" i="10"/>
  <c r="DA17" i="10"/>
  <c r="DA16" i="6"/>
  <c r="DA3" i="6"/>
  <c r="H13" i="7"/>
  <c r="H3" i="7"/>
  <c r="HE6" i="7"/>
  <c r="HD4" i="7"/>
  <c r="BZ3" i="1"/>
  <c r="BT4" i="1"/>
  <c r="DG3" i="1"/>
  <c r="DA16" i="1"/>
  <c r="DA3" i="1"/>
  <c r="AG3" i="8"/>
  <c r="AG3" i="6"/>
  <c r="AF3" i="6"/>
  <c r="AF3" i="8"/>
  <c r="HE6" i="1"/>
  <c r="HD4" i="1"/>
  <c r="HE26" i="1"/>
  <c r="HD24" i="1"/>
  <c r="DG3" i="10"/>
  <c r="DJ3" i="9"/>
  <c r="CU17" i="9"/>
  <c r="CU3" i="9"/>
  <c r="DG3" i="7"/>
  <c r="HE6" i="6"/>
  <c r="HD4" i="6"/>
  <c r="HE26" i="6"/>
  <c r="HD24" i="6"/>
  <c r="DA17" i="1"/>
  <c r="CU18" i="1"/>
  <c r="HE6" i="12"/>
  <c r="HD4" i="12"/>
  <c r="HE26" i="12"/>
  <c r="HD24" i="12"/>
  <c r="HE26" i="11"/>
  <c r="HD24" i="11"/>
  <c r="HE6" i="11"/>
  <c r="HD4" i="11"/>
  <c r="DG3" i="9"/>
  <c r="DA16" i="9"/>
  <c r="DA3" i="9"/>
  <c r="DD3" i="9"/>
  <c r="DA17" i="9"/>
  <c r="H13" i="9"/>
  <c r="H3" i="9"/>
  <c r="DA16" i="10"/>
  <c r="DA3" i="10"/>
  <c r="DA16" i="7"/>
  <c r="DA3" i="7"/>
  <c r="HE26" i="7"/>
  <c r="HD24" i="7"/>
  <c r="CU18" i="9"/>
  <c r="HE6" i="9"/>
  <c r="HD4" i="9"/>
  <c r="HE26" i="9"/>
  <c r="HD2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Jared, Karessa L.</author>
  </authors>
  <commentList>
    <comment ref="FO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O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9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0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0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0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1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2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2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2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2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3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3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3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3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5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21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24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4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5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6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7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27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8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Jared, Karessa L.</author>
  </authors>
  <commentList>
    <comment ref="FO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6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O6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9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9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9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9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0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0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0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1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1" authorId="0" shapeId="0" xr:uid="{00000000-0006-0000-0100-00000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1" authorId="0" shapeId="0" xr:uid="{00000000-0006-0000-0100-00000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2" authorId="0" shapeId="0" xr:uid="{00000000-0006-0000-0100-00000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2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2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2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3" authorId="0" shapeId="0" xr:uid="{00000000-0006-0000-0100-00001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3" authorId="0" shapeId="0" xr:uid="{00000000-0006-0000-0100-00001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3" authorId="0" shapeId="0" xr:uid="{00000000-0006-0000-0100-00001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3" authorId="0" shapeId="0" xr:uid="{00000000-0006-0000-0100-00001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5" authorId="0" shapeId="0" xr:uid="{00000000-0006-0000-0100-00001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21" authorId="0" shapeId="0" xr:uid="{00000000-0006-0000-0100-00001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24" authorId="0" shapeId="0" xr:uid="{00000000-0006-0000-0100-00001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4" authorId="0" shapeId="0" xr:uid="{00000000-0006-0000-0100-00001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5" authorId="0" shapeId="0" xr:uid="{00000000-0006-0000-0100-00001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6" authorId="0" shapeId="0" xr:uid="{00000000-0006-0000-0100-00001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7" authorId="0" shapeId="0" xr:uid="{00000000-0006-0000-0100-00001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27" authorId="0" shapeId="0" xr:uid="{00000000-0006-0000-0100-00001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8" authorId="0" shapeId="0" xr:uid="{00000000-0006-0000-0100-00001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Jared, Karessa L.</author>
  </authors>
  <commentList>
    <comment ref="FO5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6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O6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9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9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9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9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0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0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0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1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1" authorId="0" shapeId="0" xr:uid="{00000000-0006-0000-0200-00000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1" authorId="0" shapeId="0" xr:uid="{00000000-0006-0000-0200-00000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2" authorId="0" shapeId="0" xr:uid="{00000000-0006-0000-0200-00000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2" authorId="0" shapeId="0" xr:uid="{00000000-0006-0000-0200-00000F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2" authorId="0" shapeId="0" xr:uid="{00000000-0006-0000-0200-000010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2" authorId="0" shapeId="0" xr:uid="{00000000-0006-0000-0200-00001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3" authorId="0" shapeId="0" xr:uid="{00000000-0006-0000-0200-00001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3" authorId="0" shapeId="0" xr:uid="{00000000-0006-0000-0200-00001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3" authorId="0" shapeId="0" xr:uid="{00000000-0006-0000-0200-00001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3" authorId="0" shapeId="0" xr:uid="{00000000-0006-0000-0200-00001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5" authorId="0" shapeId="0" xr:uid="{00000000-0006-0000-0200-00001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21" authorId="0" shapeId="0" xr:uid="{00000000-0006-0000-0200-00001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24" authorId="0" shapeId="0" xr:uid="{00000000-0006-0000-0200-00001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4" authorId="0" shapeId="0" xr:uid="{00000000-0006-0000-0200-00001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5" authorId="0" shapeId="0" xr:uid="{00000000-0006-0000-0200-00001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6" authorId="0" shapeId="0" xr:uid="{00000000-0006-0000-0200-00001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7" authorId="0" shapeId="0" xr:uid="{00000000-0006-0000-0200-00001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27" authorId="0" shapeId="0" xr:uid="{00000000-0006-0000-0200-00001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8" authorId="0" shapeId="0" xr:uid="{00000000-0006-0000-0200-00001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Jared, Karessa L.</author>
  </authors>
  <commentList>
    <comment ref="FO5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6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O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9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9" authorId="0" shapeId="0" xr:uid="{00000000-0006-0000-0300-00000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9" authorId="0" shapeId="0" xr:uid="{00000000-0006-0000-0300-00000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9" authorId="0" shapeId="0" xr:uid="{00000000-0006-0000-0300-00000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0" authorId="0" shapeId="0" xr:uid="{00000000-0006-0000-0300-00000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0" authorId="0" shapeId="0" xr:uid="{00000000-0006-0000-0300-00000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0" authorId="0" shapeId="0" xr:uid="{00000000-0006-0000-0300-00000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1" authorId="0" shapeId="0" xr:uid="{00000000-0006-0000-0300-00000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1" authorId="0" shapeId="0" xr:uid="{00000000-0006-0000-0300-00000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1" authorId="0" shapeId="0" xr:uid="{00000000-0006-0000-0300-00000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2" authorId="0" shapeId="0" xr:uid="{00000000-0006-0000-0300-00000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2" authorId="0" shapeId="0" xr:uid="{00000000-0006-0000-0300-00000F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2" authorId="0" shapeId="0" xr:uid="{00000000-0006-0000-0300-000010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2" authorId="0" shapeId="0" xr:uid="{00000000-0006-0000-0300-00001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3" authorId="0" shapeId="0" xr:uid="{00000000-0006-0000-0300-00001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3" authorId="0" shapeId="0" xr:uid="{00000000-0006-0000-0300-00001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3" authorId="0" shapeId="0" xr:uid="{00000000-0006-0000-0300-00001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3" authorId="0" shapeId="0" xr:uid="{00000000-0006-0000-0300-00001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5" authorId="0" shapeId="0" xr:uid="{00000000-0006-0000-0300-00001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21" authorId="0" shapeId="0" xr:uid="{00000000-0006-0000-0300-00001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24" authorId="0" shapeId="0" xr:uid="{00000000-0006-0000-0300-00001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4" authorId="0" shapeId="0" xr:uid="{00000000-0006-0000-0300-00001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5" authorId="0" shapeId="0" xr:uid="{00000000-0006-0000-0300-00001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6" authorId="0" shapeId="0" xr:uid="{00000000-0006-0000-0300-00001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7" authorId="0" shapeId="0" xr:uid="{00000000-0006-0000-0300-00001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27" authorId="0" shapeId="0" xr:uid="{00000000-0006-0000-0300-00001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8" authorId="0" shapeId="0" xr:uid="{00000000-0006-0000-0300-00001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Jared, Karessa L.</author>
  </authors>
  <commentList>
    <comment ref="FO5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6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O6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9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9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9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9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0" authorId="0" shapeId="0" xr:uid="{00000000-0006-0000-0400-00000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0" authorId="0" shapeId="0" xr:uid="{00000000-0006-0000-0400-00000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0" authorId="0" shapeId="0" xr:uid="{00000000-0006-0000-0400-00000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1" authorId="0" shapeId="0" xr:uid="{00000000-0006-0000-0400-00000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1" authorId="0" shapeId="0" xr:uid="{00000000-0006-0000-0400-00000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1" authorId="0" shapeId="0" xr:uid="{00000000-0006-0000-0400-00000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2" authorId="0" shapeId="0" xr:uid="{00000000-0006-0000-0400-00000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2" authorId="0" shapeId="0" xr:uid="{00000000-0006-0000-0400-00000F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2" authorId="0" shapeId="0" xr:uid="{00000000-0006-0000-0400-000010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2" authorId="0" shapeId="0" xr:uid="{00000000-0006-0000-0400-00001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3" authorId="0" shapeId="0" xr:uid="{00000000-0006-0000-0400-00001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3" authorId="0" shapeId="0" xr:uid="{00000000-0006-0000-0400-00001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3" authorId="0" shapeId="0" xr:uid="{00000000-0006-0000-0400-00001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3" authorId="0" shapeId="0" xr:uid="{00000000-0006-0000-0400-00001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5" authorId="0" shapeId="0" xr:uid="{00000000-0006-0000-0400-00001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21" authorId="0" shapeId="0" xr:uid="{00000000-0006-0000-0400-00001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24" authorId="0" shapeId="0" xr:uid="{00000000-0006-0000-0400-00001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4" authorId="0" shapeId="0" xr:uid="{00000000-0006-0000-0400-00001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5" authorId="0" shapeId="0" xr:uid="{00000000-0006-0000-0400-00001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6" authorId="0" shapeId="0" xr:uid="{00000000-0006-0000-0400-00001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7" authorId="0" shapeId="0" xr:uid="{00000000-0006-0000-0400-00001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27" authorId="0" shapeId="0" xr:uid="{00000000-0006-0000-0400-00001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8" authorId="0" shapeId="0" xr:uid="{00000000-0006-0000-0400-00001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Jared, Karessa L.</author>
  </authors>
  <commentList>
    <comment ref="FO5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6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O6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9" authorId="0" shapeId="0" xr:uid="{00000000-0006-0000-0500-00000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9" authorId="0" shapeId="0" xr:uid="{00000000-0006-0000-0500-00000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9" authorId="0" shapeId="0" xr:uid="{00000000-0006-0000-0500-00000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9" authorId="0" shapeId="0" xr:uid="{00000000-0006-0000-0500-00000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0" authorId="0" shapeId="0" xr:uid="{00000000-0006-0000-0500-00000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0" authorId="0" shapeId="0" xr:uid="{00000000-0006-0000-0500-00000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0" authorId="0" shapeId="0" xr:uid="{00000000-0006-0000-0500-00000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1" authorId="0" shapeId="0" xr:uid="{00000000-0006-0000-0500-00000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1" authorId="0" shapeId="0" xr:uid="{00000000-0006-0000-0500-00000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1" authorId="0" shapeId="0" xr:uid="{00000000-0006-0000-0500-00000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2" authorId="0" shapeId="0" xr:uid="{00000000-0006-0000-0500-00000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2" authorId="0" shapeId="0" xr:uid="{00000000-0006-0000-0500-00000F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2" authorId="0" shapeId="0" xr:uid="{00000000-0006-0000-0500-000010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2" authorId="0" shapeId="0" xr:uid="{00000000-0006-0000-0500-00001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3" authorId="0" shapeId="0" xr:uid="{00000000-0006-0000-0500-00001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3" authorId="0" shapeId="0" xr:uid="{00000000-0006-0000-0500-00001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3" authorId="0" shapeId="0" xr:uid="{00000000-0006-0000-0500-00001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3" authorId="0" shapeId="0" xr:uid="{00000000-0006-0000-0500-00001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5" authorId="0" shapeId="0" xr:uid="{00000000-0006-0000-0500-00001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21" authorId="0" shapeId="0" xr:uid="{00000000-0006-0000-0500-00001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24" authorId="0" shapeId="0" xr:uid="{00000000-0006-0000-0500-00001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4" authorId="0" shapeId="0" xr:uid="{00000000-0006-0000-0500-00001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5" authorId="0" shapeId="0" xr:uid="{00000000-0006-0000-0500-00001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6" authorId="0" shapeId="0" xr:uid="{00000000-0006-0000-0500-00001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7" authorId="0" shapeId="0" xr:uid="{00000000-0006-0000-0500-00001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27" authorId="0" shapeId="0" xr:uid="{00000000-0006-0000-0500-00001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8" authorId="0" shapeId="0" xr:uid="{00000000-0006-0000-0500-00001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Jared, Karessa L.</author>
  </authors>
  <commentList>
    <comment ref="FO5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6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O6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9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9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9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9" authorId="0" shapeId="0" xr:uid="{00000000-0006-0000-0600-00000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0" authorId="0" shapeId="0" xr:uid="{00000000-0006-0000-0600-00000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0" authorId="0" shapeId="0" xr:uid="{00000000-0006-0000-0600-00000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0" authorId="0" shapeId="0" xr:uid="{00000000-0006-0000-0600-00000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1" authorId="0" shapeId="0" xr:uid="{00000000-0006-0000-0600-00000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1" authorId="0" shapeId="0" xr:uid="{00000000-0006-0000-0600-00000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1" authorId="0" shapeId="0" xr:uid="{00000000-0006-0000-0600-00000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2" authorId="0" shapeId="0" xr:uid="{00000000-0006-0000-0600-00000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2" authorId="0" shapeId="0" xr:uid="{00000000-0006-0000-0600-00000F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2" authorId="0" shapeId="0" xr:uid="{00000000-0006-0000-0600-000010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2" authorId="0" shapeId="0" xr:uid="{00000000-0006-0000-0600-00001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3" authorId="0" shapeId="0" xr:uid="{00000000-0006-0000-0600-00001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3" authorId="0" shapeId="0" xr:uid="{00000000-0006-0000-0600-00001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3" authorId="0" shapeId="0" xr:uid="{00000000-0006-0000-0600-00001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3" authorId="0" shapeId="0" xr:uid="{00000000-0006-0000-0600-00001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5" authorId="0" shapeId="0" xr:uid="{00000000-0006-0000-0600-00001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21" authorId="0" shapeId="0" xr:uid="{00000000-0006-0000-0600-00001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24" authorId="0" shapeId="0" xr:uid="{00000000-0006-0000-0600-00001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4" authorId="0" shapeId="0" xr:uid="{00000000-0006-0000-0600-00001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5" authorId="0" shapeId="0" xr:uid="{00000000-0006-0000-0600-00001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6" authorId="0" shapeId="0" xr:uid="{00000000-0006-0000-0600-00001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7" authorId="0" shapeId="0" xr:uid="{00000000-0006-0000-0600-00001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27" authorId="0" shapeId="0" xr:uid="{00000000-0006-0000-0600-00001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8" authorId="0" shapeId="0" xr:uid="{00000000-0006-0000-0600-00001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Jared, Karessa L.</author>
  </authors>
  <commentList>
    <comment ref="FO5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6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O6" authorId="0" shapeId="0" xr:uid="{00000000-0006-0000-0700-00000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9" authorId="0" shapeId="0" xr:uid="{00000000-0006-0000-0700-00000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9" authorId="0" shapeId="0" xr:uid="{00000000-0006-0000-0700-00000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9" authorId="0" shapeId="0" xr:uid="{00000000-0006-0000-0700-00000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9" authorId="0" shapeId="0" xr:uid="{00000000-0006-0000-0700-00000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0" authorId="0" shapeId="0" xr:uid="{00000000-0006-0000-0700-00000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0" authorId="0" shapeId="0" xr:uid="{00000000-0006-0000-0700-00000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0" authorId="0" shapeId="0" xr:uid="{00000000-0006-0000-0700-00000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1" authorId="0" shapeId="0" xr:uid="{00000000-0006-0000-0700-00000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1" authorId="0" shapeId="0" xr:uid="{00000000-0006-0000-0700-00000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1" authorId="0" shapeId="0" xr:uid="{00000000-0006-0000-0700-00000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2" authorId="0" shapeId="0" xr:uid="{00000000-0006-0000-0700-00000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2" authorId="0" shapeId="0" xr:uid="{00000000-0006-0000-0700-00000F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2" authorId="0" shapeId="0" xr:uid="{00000000-0006-0000-0700-000010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2" authorId="0" shapeId="0" xr:uid="{00000000-0006-0000-0700-000011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13" authorId="0" shapeId="0" xr:uid="{00000000-0006-0000-0700-000012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F13" authorId="0" shapeId="0" xr:uid="{00000000-0006-0000-0700-000013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U13" authorId="0" shapeId="0" xr:uid="{00000000-0006-0000-0700-000014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3" authorId="0" shapeId="0" xr:uid="{00000000-0006-0000-0700-000015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15" authorId="0" shapeId="0" xr:uid="{00000000-0006-0000-0700-000016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R21" authorId="0" shapeId="0" xr:uid="{00000000-0006-0000-0700-000017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L24" authorId="0" shapeId="0" xr:uid="{00000000-0006-0000-0700-000018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4" authorId="0" shapeId="0" xr:uid="{00000000-0006-0000-0700-000019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5" authorId="0" shapeId="0" xr:uid="{00000000-0006-0000-0700-00001A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6" authorId="0" shapeId="0" xr:uid="{00000000-0006-0000-0700-00001B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7" authorId="0" shapeId="0" xr:uid="{00000000-0006-0000-0700-00001C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FX27" authorId="0" shapeId="0" xr:uid="{00000000-0006-0000-0700-00001D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  <comment ref="CO28" authorId="0" shapeId="0" xr:uid="{00000000-0006-0000-0700-00001E000000}">
      <text>
        <r>
          <rPr>
            <b/>
            <sz val="9"/>
            <color indexed="81"/>
            <rFont val="Tahoma"/>
            <family val="2"/>
          </rPr>
          <t>Jared, Karessa L.:</t>
        </r>
        <r>
          <rPr>
            <sz val="9"/>
            <color indexed="81"/>
            <rFont val="Tahoma"/>
            <family val="2"/>
          </rPr>
          <t xml:space="preserve">
No Default Given.</t>
        </r>
      </text>
    </comment>
  </commentList>
</comments>
</file>

<file path=xl/sharedStrings.xml><?xml version="1.0" encoding="utf-8"?>
<sst xmlns="http://schemas.openxmlformats.org/spreadsheetml/2006/main" count="22191" uniqueCount="491">
  <si>
    <t>Am-241</t>
  </si>
  <si>
    <t>Worker</t>
  </si>
  <si>
    <t>outdoor</t>
  </si>
  <si>
    <t>Resident</t>
  </si>
  <si>
    <t>composite</t>
  </si>
  <si>
    <t>indoor</t>
  </si>
  <si>
    <t>Construction (non standard)</t>
  </si>
  <si>
    <t>Construction (standard)</t>
  </si>
  <si>
    <t>Recreator</t>
  </si>
  <si>
    <t>farmer</t>
  </si>
  <si>
    <t>water</t>
  </si>
  <si>
    <t>soil</t>
  </si>
  <si>
    <t>s&amp;w</t>
  </si>
  <si>
    <t>external</t>
  </si>
  <si>
    <t>soil volume</t>
  </si>
  <si>
    <t>Cs-137+D</t>
  </si>
  <si>
    <t>15cm</t>
  </si>
  <si>
    <t>partitioning</t>
  </si>
  <si>
    <t>air</t>
  </si>
  <si>
    <t>pCi/m^3</t>
  </si>
  <si>
    <t>tapwater</t>
  </si>
  <si>
    <t>ug/L</t>
  </si>
  <si>
    <t>pCi/g</t>
  </si>
  <si>
    <t>surface water</t>
  </si>
  <si>
    <t>pCi/L</t>
  </si>
  <si>
    <t>mg/kg</t>
  </si>
  <si>
    <t>produce</t>
  </si>
  <si>
    <t>milk</t>
  </si>
  <si>
    <t>beef</t>
  </si>
  <si>
    <t>mg/L</t>
  </si>
  <si>
    <t>INT</t>
  </si>
  <si>
    <t>SLOPE</t>
  </si>
  <si>
    <t>2-D</t>
  </si>
  <si>
    <t>resident</t>
  </si>
  <si>
    <t>worker</t>
  </si>
  <si>
    <t>Soil 2 gw</t>
  </si>
  <si>
    <t>no decay</t>
  </si>
  <si>
    <t>decay</t>
  </si>
  <si>
    <t>mcl based</t>
  </si>
  <si>
    <t>composite worker</t>
  </si>
  <si>
    <t>indoor worker</t>
  </si>
  <si>
    <t>outdoor worker</t>
  </si>
  <si>
    <t>construction worker</t>
  </si>
  <si>
    <t>risk based</t>
  </si>
  <si>
    <t>Irr rup</t>
  </si>
  <si>
    <t>L/kg</t>
  </si>
  <si>
    <t>R upv</t>
  </si>
  <si>
    <t>R upp</t>
  </si>
  <si>
    <t>MCL</t>
  </si>
  <si>
    <t>lambda</t>
  </si>
  <si>
    <t>g/mg</t>
  </si>
  <si>
    <t>EF</t>
  </si>
  <si>
    <t>days/year</t>
  </si>
  <si>
    <t>Irr res</t>
  </si>
  <si>
    <t>R es</t>
  </si>
  <si>
    <t>Q w dairy</t>
  </si>
  <si>
    <t>L/day</t>
  </si>
  <si>
    <t>Q w beef</t>
  </si>
  <si>
    <t>t</t>
  </si>
  <si>
    <t>yr</t>
  </si>
  <si>
    <t>day/yr</t>
  </si>
  <si>
    <t>risk/pCi</t>
  </si>
  <si>
    <t>Irr dep</t>
  </si>
  <si>
    <t>Bv wet</t>
  </si>
  <si>
    <t>Bv dry</t>
  </si>
  <si>
    <t>ED</t>
  </si>
  <si>
    <t>EF iw</t>
  </si>
  <si>
    <t>EF c</t>
  </si>
  <si>
    <t>Ir</t>
  </si>
  <si>
    <t>L/m^2-day</t>
  </si>
  <si>
    <t>MLF p</t>
  </si>
  <si>
    <t xml:space="preserve">θw = </t>
  </si>
  <si>
    <t>(mg/m^3)^-1</t>
  </si>
  <si>
    <t>EF a</t>
  </si>
  <si>
    <t>F</t>
  </si>
  <si>
    <t>unitless</t>
  </si>
  <si>
    <t xml:space="preserve">ρb = </t>
  </si>
  <si>
    <t>IFA adj</t>
  </si>
  <si>
    <t>m3/day</t>
  </si>
  <si>
    <t>ET wa</t>
  </si>
  <si>
    <t>hrs/day</t>
  </si>
  <si>
    <t>IFW adj</t>
  </si>
  <si>
    <t>IFS adj</t>
  </si>
  <si>
    <t>ED c</t>
  </si>
  <si>
    <t>Q p-m</t>
  </si>
  <si>
    <t>Q p-b</t>
  </si>
  <si>
    <t xml:space="preserve">t = </t>
  </si>
  <si>
    <t>IRA child</t>
  </si>
  <si>
    <t>yrs</t>
  </si>
  <si>
    <t>L/hr</t>
  </si>
  <si>
    <t>mg/day</t>
  </si>
  <si>
    <t>IRB c</t>
  </si>
  <si>
    <t>lambda B</t>
  </si>
  <si>
    <t>Q s-m</t>
  </si>
  <si>
    <t>Q s-b</t>
  </si>
  <si>
    <t>IRA adult</t>
  </si>
  <si>
    <t>IRA ow</t>
  </si>
  <si>
    <t>IRW c</t>
  </si>
  <si>
    <t>ED a</t>
  </si>
  <si>
    <t>ED rec</t>
  </si>
  <si>
    <t>ED r</t>
  </si>
  <si>
    <t>t b</t>
  </si>
  <si>
    <t>day</t>
  </si>
  <si>
    <t>f p-m</t>
  </si>
  <si>
    <t>f p-b</t>
  </si>
  <si>
    <t>ACF</t>
  </si>
  <si>
    <t>ET ra</t>
  </si>
  <si>
    <t>risk/yer per pCi/m3</t>
  </si>
  <si>
    <t>IRS c</t>
  </si>
  <si>
    <t>IRB a</t>
  </si>
  <si>
    <t>P</t>
  </si>
  <si>
    <t>kg/m^2</t>
  </si>
  <si>
    <t>f s-m</t>
  </si>
  <si>
    <t>f s-b</t>
  </si>
  <si>
    <t>ET o</t>
  </si>
  <si>
    <t>hr/hr</t>
  </si>
  <si>
    <t>ET</t>
  </si>
  <si>
    <t>hr/day</t>
  </si>
  <si>
    <t xml:space="preserve">Kd = </t>
  </si>
  <si>
    <t>years</t>
  </si>
  <si>
    <t>MLF</t>
  </si>
  <si>
    <t>(risk/yr per pCi/g)</t>
  </si>
  <si>
    <t>ED child</t>
  </si>
  <si>
    <t>IRW a</t>
  </si>
  <si>
    <t>ED w</t>
  </si>
  <si>
    <t>I f</t>
  </si>
  <si>
    <t>ED adult</t>
  </si>
  <si>
    <t>IRS a</t>
  </si>
  <si>
    <t>IR iw</t>
  </si>
  <si>
    <t>lambda E</t>
  </si>
  <si>
    <t>1/day</t>
  </si>
  <si>
    <t>K</t>
  </si>
  <si>
    <t>L/m^3</t>
  </si>
  <si>
    <t>t v</t>
  </si>
  <si>
    <t>m3/year</t>
  </si>
  <si>
    <t>Y v</t>
  </si>
  <si>
    <t>ET i</t>
  </si>
  <si>
    <t>lambda HL</t>
  </si>
  <si>
    <t>lambda i</t>
  </si>
  <si>
    <t>CF p</t>
  </si>
  <si>
    <t>T</t>
  </si>
  <si>
    <t>1cm</t>
  </si>
  <si>
    <t>ground plane</t>
  </si>
  <si>
    <t>mass balance</t>
  </si>
  <si>
    <t>t w</t>
  </si>
  <si>
    <t>days</t>
  </si>
  <si>
    <t>pCi/cm^2</t>
  </si>
  <si>
    <t>risk/yr per pCi/g</t>
  </si>
  <si>
    <t>PEF</t>
  </si>
  <si>
    <t>m^3/kg</t>
  </si>
  <si>
    <t>fish</t>
  </si>
  <si>
    <t>EV c</t>
  </si>
  <si>
    <t>events/day</t>
  </si>
  <si>
    <t>EV a</t>
  </si>
  <si>
    <r>
      <t>L/cm</t>
    </r>
    <r>
      <rPr>
        <vertAlign val="superscript"/>
        <sz val="10"/>
        <rFont val="Arial"/>
        <family val="2"/>
      </rPr>
      <t>3</t>
    </r>
  </si>
  <si>
    <t>ETO</t>
  </si>
  <si>
    <t>θw</t>
  </si>
  <si>
    <r>
      <t>cm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/L</t>
    </r>
  </si>
  <si>
    <t>ETI</t>
  </si>
  <si>
    <t>ρb</t>
  </si>
  <si>
    <t>(mg/kg-day)^-1</t>
  </si>
  <si>
    <t>DF i</t>
  </si>
  <si>
    <t>IRF a</t>
  </si>
  <si>
    <t>ET c</t>
  </si>
  <si>
    <t>hours/event</t>
  </si>
  <si>
    <t>ET a</t>
  </si>
  <si>
    <t>ET rec</t>
  </si>
  <si>
    <t>Kd</t>
  </si>
  <si>
    <t>ET rw</t>
  </si>
  <si>
    <t>t res</t>
  </si>
  <si>
    <t>m/yr</t>
  </si>
  <si>
    <t>i</t>
  </si>
  <si>
    <t>m/m</t>
  </si>
  <si>
    <t>days/yr</t>
  </si>
  <si>
    <t>t rec</t>
  </si>
  <si>
    <t>d</t>
  </si>
  <si>
    <t>m</t>
  </si>
  <si>
    <t>surface</t>
  </si>
  <si>
    <t>I</t>
  </si>
  <si>
    <t>g/kg</t>
  </si>
  <si>
    <t>L</t>
  </si>
  <si>
    <t>d a</t>
  </si>
  <si>
    <t>d s</t>
  </si>
  <si>
    <t>5cm</t>
  </si>
  <si>
    <t>PEFsc</t>
  </si>
  <si>
    <t>PEF'sc</t>
  </si>
  <si>
    <t>BCF</t>
  </si>
  <si>
    <t>ft</t>
  </si>
  <si>
    <t xml:space="preserve">FI </t>
  </si>
  <si>
    <t>fraction contaminated</t>
  </si>
  <si>
    <t>acres</t>
  </si>
  <si>
    <t>tons/car</t>
  </si>
  <si>
    <t>tons/truck</t>
  </si>
  <si>
    <t>days/week</t>
  </si>
  <si>
    <t>weeks/year</t>
  </si>
  <si>
    <t>As</t>
  </si>
  <si>
    <t>p</t>
  </si>
  <si>
    <t>s</t>
  </si>
  <si>
    <t>A</t>
  </si>
  <si>
    <t>Ac</t>
  </si>
  <si>
    <t>B</t>
  </si>
  <si>
    <t>A surf</t>
  </si>
  <si>
    <t>C</t>
  </si>
  <si>
    <t>km</t>
  </si>
  <si>
    <t>s doz</t>
  </si>
  <si>
    <t>W</t>
  </si>
  <si>
    <t>tons</t>
  </si>
  <si>
    <t>s till</t>
  </si>
  <si>
    <t>distance</t>
  </si>
  <si>
    <t>km/day</t>
  </si>
  <si>
    <t>V</t>
  </si>
  <si>
    <t>J' T</t>
  </si>
  <si>
    <t>M doz</t>
  </si>
  <si>
    <t>g</t>
  </si>
  <si>
    <t>M excav</t>
  </si>
  <si>
    <t>M till</t>
  </si>
  <si>
    <t>M grade</t>
  </si>
  <si>
    <t>F(x)</t>
  </si>
  <si>
    <t>Um</t>
  </si>
  <si>
    <t>m/s</t>
  </si>
  <si>
    <t>Ut</t>
  </si>
  <si>
    <t>EF rec</t>
  </si>
  <si>
    <t>construction</t>
  </si>
  <si>
    <t>IRA c</t>
  </si>
  <si>
    <t>IRA a</t>
  </si>
  <si>
    <t>EF child</t>
  </si>
  <si>
    <t>EF adult</t>
  </si>
  <si>
    <t>ED fc</t>
  </si>
  <si>
    <t>ED fa</t>
  </si>
  <si>
    <t>ED f</t>
  </si>
  <si>
    <t>egg</t>
  </si>
  <si>
    <t>poultry</t>
  </si>
  <si>
    <t>swine</t>
  </si>
  <si>
    <t>IRPc</t>
  </si>
  <si>
    <t>IRPa</t>
  </si>
  <si>
    <t>IRFIc</t>
  </si>
  <si>
    <t>IRFIa</t>
  </si>
  <si>
    <t>hours</t>
  </si>
  <si>
    <t>ET rsc</t>
  </si>
  <si>
    <t>ET rsa</t>
  </si>
  <si>
    <t>DFA adj</t>
  </si>
  <si>
    <r>
      <t>mg</t>
    </r>
    <r>
      <rPr>
        <sz val="12"/>
        <rFont val="Arial"/>
        <family val="2"/>
      </rPr>
      <t>³</t>
    </r>
    <r>
      <rPr>
        <sz val="10"/>
        <rFont val="Arial"/>
        <family val="2"/>
      </rPr>
      <t>/day</t>
    </r>
  </si>
  <si>
    <t>IRF c</t>
  </si>
  <si>
    <t>IRV c</t>
  </si>
  <si>
    <t>IRV a</t>
  </si>
  <si>
    <t>day/year</t>
  </si>
  <si>
    <t>EF fc</t>
  </si>
  <si>
    <t>EF fa</t>
  </si>
  <si>
    <t>event/day</t>
  </si>
  <si>
    <t>t c-event</t>
  </si>
  <si>
    <t>t a-event</t>
  </si>
  <si>
    <t>hr/event</t>
  </si>
  <si>
    <r>
      <t>L/mg</t>
    </r>
    <r>
      <rPr>
        <sz val="12"/>
        <rFont val="Arial"/>
        <family val="2"/>
      </rPr>
      <t>³</t>
    </r>
  </si>
  <si>
    <t>year</t>
  </si>
  <si>
    <t>IRD c</t>
  </si>
  <si>
    <t>IRD a</t>
  </si>
  <si>
    <t>CF d</t>
  </si>
  <si>
    <t>IFD adj</t>
  </si>
  <si>
    <t>IFB adj</t>
  </si>
  <si>
    <t>CF b</t>
  </si>
  <si>
    <t>IFE adj</t>
  </si>
  <si>
    <t>IRE c</t>
  </si>
  <si>
    <t>IRE a</t>
  </si>
  <si>
    <t>IRFI f-adj</t>
  </si>
  <si>
    <t>CF e</t>
  </si>
  <si>
    <t>CF fi</t>
  </si>
  <si>
    <t>IFP f-adj</t>
  </si>
  <si>
    <t>IFSW f-adj</t>
  </si>
  <si>
    <t>IRSW a</t>
  </si>
  <si>
    <t>IRSW c</t>
  </si>
  <si>
    <t>CF sw</t>
  </si>
  <si>
    <t>Q w egg</t>
  </si>
  <si>
    <t>Q w po</t>
  </si>
  <si>
    <t>Q w swine</t>
  </si>
  <si>
    <t>Q w fish</t>
  </si>
  <si>
    <t>Q p-po</t>
  </si>
  <si>
    <t>Q s-po</t>
  </si>
  <si>
    <t>f p-po</t>
  </si>
  <si>
    <t>f s-po</t>
  </si>
  <si>
    <t>MLF po</t>
  </si>
  <si>
    <t>Q p-sw</t>
  </si>
  <si>
    <t>Q s-sw</t>
  </si>
  <si>
    <t>f p-sw</t>
  </si>
  <si>
    <t>f s-sw</t>
  </si>
  <si>
    <t>MLF sw</t>
  </si>
  <si>
    <t>MLF fi</t>
  </si>
  <si>
    <t>f s-fi</t>
  </si>
  <si>
    <t>f p-fi</t>
  </si>
  <si>
    <t>Q s-fi</t>
  </si>
  <si>
    <t>Q p-fi</t>
  </si>
  <si>
    <t>MLF egg</t>
  </si>
  <si>
    <t>Q s-egg</t>
  </si>
  <si>
    <t>Q p-egg</t>
  </si>
  <si>
    <t>f p-egg</t>
  </si>
  <si>
    <t>f s-egg</t>
  </si>
  <si>
    <t>Farmer</t>
  </si>
  <si>
    <t>kd</t>
  </si>
  <si>
    <t>day/week</t>
  </si>
  <si>
    <t>ED cw</t>
  </si>
  <si>
    <t>t f</t>
  </si>
  <si>
    <t>IRGF rec</t>
  </si>
  <si>
    <t>Fowl</t>
  </si>
  <si>
    <t>Game</t>
  </si>
  <si>
    <t>direct ing</t>
  </si>
  <si>
    <t>IRGL rec</t>
  </si>
  <si>
    <t>Q s-fowl</t>
  </si>
  <si>
    <t>f p-fowl</t>
  </si>
  <si>
    <t>f s-fowl</t>
  </si>
  <si>
    <t>Q p-fowl</t>
  </si>
  <si>
    <t>Q p-game</t>
  </si>
  <si>
    <t>MLF fowl</t>
  </si>
  <si>
    <t>MLF game</t>
  </si>
  <si>
    <t>Q s-game</t>
  </si>
  <si>
    <t>f p-game</t>
  </si>
  <si>
    <t>f s-game</t>
  </si>
  <si>
    <t>Q w-fowl</t>
  </si>
  <si>
    <t>Q w-game</t>
  </si>
  <si>
    <t>TFm</t>
  </si>
  <si>
    <t>TF b</t>
  </si>
  <si>
    <t>TF egg</t>
  </si>
  <si>
    <t>TF fish</t>
  </si>
  <si>
    <t>TF po</t>
  </si>
  <si>
    <t>TF sw</t>
  </si>
  <si>
    <t>PEF - wind</t>
  </si>
  <si>
    <t>m³ air / kg soil</t>
  </si>
  <si>
    <t>Soil</t>
  </si>
  <si>
    <t>s/hour</t>
  </si>
  <si>
    <t>Q/C</t>
  </si>
  <si>
    <t>A R</t>
  </si>
  <si>
    <t>m²</t>
  </si>
  <si>
    <t>Σ VKT</t>
  </si>
  <si>
    <t>F D</t>
  </si>
  <si>
    <t>t c</t>
  </si>
  <si>
    <t>L R</t>
  </si>
  <si>
    <t>W R</t>
  </si>
  <si>
    <t>m² / ft²</t>
  </si>
  <si>
    <t>N cars</t>
  </si>
  <si>
    <t>N trucks</t>
  </si>
  <si>
    <t>seconds</t>
  </si>
  <si>
    <t>hour</t>
  </si>
  <si>
    <t>EW cw</t>
  </si>
  <si>
    <t>DW cw</t>
  </si>
  <si>
    <t>EF cw</t>
  </si>
  <si>
    <t>ET cw</t>
  </si>
  <si>
    <t>sec/hour</t>
  </si>
  <si>
    <t>hours/day</t>
  </si>
  <si>
    <t>M dry</t>
  </si>
  <si>
    <t>M pc wind</t>
  </si>
  <si>
    <t>ρ soil</t>
  </si>
  <si>
    <t>mg/m³</t>
  </si>
  <si>
    <t>A excav</t>
  </si>
  <si>
    <t>d excav</t>
  </si>
  <si>
    <t>N A-dump</t>
  </si>
  <si>
    <t>M m-excav</t>
  </si>
  <si>
    <t>percent</t>
  </si>
  <si>
    <t>Σ VKT doz</t>
  </si>
  <si>
    <t>M m-doz</t>
  </si>
  <si>
    <t>S doz</t>
  </si>
  <si>
    <t>km/hour</t>
  </si>
  <si>
    <t>S grade</t>
  </si>
  <si>
    <t>Σ VKT grade</t>
  </si>
  <si>
    <t>A till</t>
  </si>
  <si>
    <t>N A-till</t>
  </si>
  <si>
    <t>Ac-grade</t>
  </si>
  <si>
    <t>Bg</t>
  </si>
  <si>
    <t>N A-doz</t>
  </si>
  <si>
    <t>Ac-doz</t>
  </si>
  <si>
    <t>*Calculated Cell*</t>
  </si>
  <si>
    <t>Any changes made to PEF's will change other sheets.</t>
  </si>
  <si>
    <t>CPF res</t>
  </si>
  <si>
    <t>IRV rvg-c</t>
  </si>
  <si>
    <t>IRV rvg-a</t>
  </si>
  <si>
    <t>IFV rvg adj</t>
  </si>
  <si>
    <t>IFF rft adj</t>
  </si>
  <si>
    <t>IRF rft-c</t>
  </si>
  <si>
    <t>IRF rft-a</t>
  </si>
  <si>
    <t>kg/g</t>
  </si>
  <si>
    <t>DW</t>
  </si>
  <si>
    <t>EW</t>
  </si>
  <si>
    <t>wks/yr</t>
  </si>
  <si>
    <t>g/day</t>
  </si>
  <si>
    <t>half life in days</t>
  </si>
  <si>
    <t>ET fsc</t>
  </si>
  <si>
    <t>CPF f</t>
  </si>
  <si>
    <t>correct</t>
  </si>
  <si>
    <t>EF f-c</t>
  </si>
  <si>
    <t>EF f-a</t>
  </si>
  <si>
    <t>PEF sc mech</t>
  </si>
  <si>
    <t>PEF'sc mech</t>
  </si>
  <si>
    <t>wk/yr</t>
  </si>
  <si>
    <t>d/wk</t>
  </si>
  <si>
    <t>DAF</t>
  </si>
  <si>
    <t>For construction worker soil, do 200 m2 slab size and 20 cm soil cover for QA since landuse is site-specific.</t>
  </si>
  <si>
    <t xml:space="preserve">For recreator, do 200 m2 slab size and 20 cm soil cover for QA since landuse is site-specific. </t>
  </si>
  <si>
    <t>ground palne</t>
  </si>
  <si>
    <t>TF fowl</t>
  </si>
  <si>
    <t>TF game</t>
  </si>
  <si>
    <t>Recretor</t>
  </si>
  <si>
    <t>ET rec a</t>
  </si>
  <si>
    <t>ET rec c</t>
  </si>
  <si>
    <t>ET recw</t>
  </si>
  <si>
    <t>ED rec a</t>
  </si>
  <si>
    <t>ED rec c</t>
  </si>
  <si>
    <t>EF rec c</t>
  </si>
  <si>
    <t>EF rec a</t>
  </si>
  <si>
    <t xml:space="preserve">For construction worker, do 200 m2 slab size and 20 cm soil cover for QA since landuse is site-specific. </t>
  </si>
  <si>
    <t>mg</t>
  </si>
  <si>
    <t>m3</t>
  </si>
  <si>
    <t>hr</t>
  </si>
  <si>
    <t>ET c air</t>
  </si>
  <si>
    <t>ET a air</t>
  </si>
  <si>
    <t>HL (TR)</t>
  </si>
  <si>
    <t xml:space="preserve">IRA </t>
  </si>
  <si>
    <t>When the following variables, hi-lighted in green below, are changed, each value in the rest of the sheet will also change.</t>
  </si>
  <si>
    <t>IRW child</t>
  </si>
  <si>
    <t>IRW adult</t>
  </si>
  <si>
    <t>(HL) TR</t>
  </si>
  <si>
    <t>half life in years</t>
  </si>
  <si>
    <t>TF beef</t>
  </si>
  <si>
    <t>TF poultry</t>
  </si>
  <si>
    <t>TF swine</t>
  </si>
  <si>
    <t>TF dairy</t>
  </si>
  <si>
    <t>Ra-226+D</t>
  </si>
  <si>
    <t>Rn-222+D</t>
  </si>
  <si>
    <t>Soil Volume (used for non-2D default)</t>
  </si>
  <si>
    <t>Site Specific</t>
  </si>
  <si>
    <t>1 cm ACF</t>
  </si>
  <si>
    <t>5 cm ACF</t>
  </si>
  <si>
    <t>15 cm ACF</t>
  </si>
  <si>
    <t>gp cm ACF</t>
  </si>
  <si>
    <t>(risk/yr per pCi/cm2)</t>
  </si>
  <si>
    <t>kg/day</t>
  </si>
  <si>
    <t>AAF fa</t>
  </si>
  <si>
    <t>AAF fc</t>
  </si>
  <si>
    <t>AAF a</t>
  </si>
  <si>
    <t>AAF c</t>
  </si>
  <si>
    <t>DCF inh</t>
  </si>
  <si>
    <t>DCF water</t>
  </si>
  <si>
    <t>DCF soil</t>
  </si>
  <si>
    <t>DCF soil work</t>
  </si>
  <si>
    <t>DCF ext sv</t>
  </si>
  <si>
    <t>DCF ext gp</t>
  </si>
  <si>
    <t>DCF ext 1cm</t>
  </si>
  <si>
    <t>DCF ext 5cm</t>
  </si>
  <si>
    <t>DCF ext 15 cm</t>
  </si>
  <si>
    <t>DCF sub</t>
  </si>
  <si>
    <t>DCF-imm</t>
  </si>
  <si>
    <t>DCF food</t>
  </si>
  <si>
    <t>mrem/pCi</t>
  </si>
  <si>
    <t>mrem/yr per pCi/g</t>
  </si>
  <si>
    <t>mrem/yr per pCi/cm2</t>
  </si>
  <si>
    <t>DCC-ing</t>
  </si>
  <si>
    <t>DCC-inh</t>
  </si>
  <si>
    <t>DCC-ext</t>
  </si>
  <si>
    <t>DCC-sping</t>
  </si>
  <si>
    <t>DCC-ping</t>
  </si>
  <si>
    <t>DCC</t>
  </si>
  <si>
    <t>DCC-imm</t>
  </si>
  <si>
    <t>DL</t>
  </si>
  <si>
    <t>(mrem)</t>
  </si>
  <si>
    <t>DCF ext</t>
  </si>
  <si>
    <t>DCF imm</t>
  </si>
  <si>
    <t>GDCFi</t>
  </si>
  <si>
    <t>GDCFo</t>
  </si>
  <si>
    <t>GDCFa</t>
  </si>
  <si>
    <t>GDCF o</t>
  </si>
  <si>
    <t>GDCF i</t>
  </si>
  <si>
    <t>IRV fr-c</t>
  </si>
  <si>
    <t>IRV fr-a</t>
  </si>
  <si>
    <t>IFV fr adj</t>
  </si>
  <si>
    <t>IFF vg adj</t>
  </si>
  <si>
    <t>IRF vg-c</t>
  </si>
  <si>
    <t>IRF vg-a</t>
  </si>
  <si>
    <t>AAF recsc</t>
  </si>
  <si>
    <t>AAF recsa</t>
  </si>
  <si>
    <t>DCC 1E-06</t>
  </si>
  <si>
    <t>DCC-wprod</t>
  </si>
  <si>
    <t>DCC-sub</t>
  </si>
  <si>
    <t>DCC-prod</t>
  </si>
  <si>
    <t>DCC-egg</t>
  </si>
  <si>
    <t>DCC-swine</t>
  </si>
  <si>
    <t>DCC-beef</t>
  </si>
  <si>
    <t>DCC-milk</t>
  </si>
  <si>
    <t>DCC-po</t>
  </si>
  <si>
    <t>DCC-fish</t>
  </si>
  <si>
    <t>DL(mrem)</t>
  </si>
  <si>
    <t>1 cm GDCF o</t>
  </si>
  <si>
    <t>5 cm GDCF o</t>
  </si>
  <si>
    <t>15 cm GDCF o</t>
  </si>
  <si>
    <t>gp cm GDCF o</t>
  </si>
  <si>
    <t>DCF soil worker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</si>
</sst>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00E+00"/>
    <numFmt numFmtId="165" formatCode="0.0000E+00"/>
    <numFmt numFmtId="166" formatCode="0.000E+00"/>
    <numFmt numFmtId="167" formatCode="0.0E+00"/>
    <numFmt numFmtId="168" formatCode="0.00000"/>
  </numFmts>
  <fonts count="31" x14ac:knownFonts="1"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1"/>
    </font>
    <font>
      <sz val="10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family val="2"/>
    </font>
    <font>
      <sz val="10"/>
      <color rgb="FF008080"/>
      <name val="Arial"/>
      <family val="2"/>
    </font>
    <font>
      <sz val="10"/>
      <color theme="1"/>
      <name val="Arial"/>
      <family val="2"/>
    </font>
    <font>
      <sz val="9"/>
      <color rgb="FF008080"/>
      <name val="Verdana"/>
      <family val="2"/>
    </font>
  </fonts>
  <fills count="7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11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DFFFF"/>
        <bgColor indexed="41"/>
      </patternFill>
    </fill>
    <fill>
      <patternFill patternType="solid">
        <fgColor rgb="FFFFDDFF"/>
        <bgColor indexed="41"/>
      </patternFill>
    </fill>
    <fill>
      <patternFill patternType="solid">
        <fgColor rgb="FFDCB9FF"/>
        <bgColor indexed="24"/>
      </patternFill>
    </fill>
    <fill>
      <patternFill patternType="solid">
        <fgColor rgb="FFBF3F7F"/>
        <bgColor indexed="61"/>
      </patternFill>
    </fill>
    <fill>
      <patternFill patternType="solid">
        <fgColor rgb="FFFFFFCC"/>
        <bgColor indexed="64"/>
      </patternFill>
    </fill>
    <fill>
      <patternFill patternType="solid">
        <fgColor rgb="FFD0DEEC"/>
        <bgColor indexed="41"/>
      </patternFill>
    </fill>
    <fill>
      <patternFill patternType="solid">
        <fgColor rgb="FFFFDBB7"/>
        <bgColor indexed="41"/>
      </patternFill>
    </fill>
    <fill>
      <patternFill patternType="solid">
        <fgColor rgb="FFFFCC00"/>
        <bgColor indexed="49"/>
      </patternFill>
    </fill>
    <fill>
      <patternFill patternType="solid">
        <fgColor rgb="FF00FF00"/>
        <bgColor indexed="24"/>
      </patternFill>
    </fill>
    <fill>
      <patternFill patternType="solid">
        <fgColor rgb="FF00FF00"/>
        <bgColor indexed="31"/>
      </patternFill>
    </fill>
    <fill>
      <patternFill patternType="solid">
        <fgColor rgb="FF00FF00"/>
        <bgColor indexed="34"/>
      </patternFill>
    </fill>
    <fill>
      <patternFill patternType="solid">
        <fgColor theme="7" tint="0.59999389629810485"/>
        <bgColor indexed="51"/>
      </patternFill>
    </fill>
    <fill>
      <patternFill patternType="solid">
        <fgColor theme="7" tint="0.59999389629810485"/>
        <bgColor indexed="35"/>
      </patternFill>
    </fill>
    <fill>
      <patternFill patternType="solid">
        <fgColor theme="7" tint="0.59999389629810485"/>
        <bgColor indexed="13"/>
      </patternFill>
    </fill>
    <fill>
      <patternFill patternType="solid">
        <fgColor theme="7" tint="0.59999389629810485"/>
        <bgColor indexed="49"/>
      </patternFill>
    </fill>
    <fill>
      <patternFill patternType="solid">
        <fgColor rgb="FF00FF00"/>
        <bgColor indexed="49"/>
      </patternFill>
    </fill>
    <fill>
      <patternFill patternType="solid">
        <fgColor rgb="FF9FC1A2"/>
        <bgColor indexed="64"/>
      </patternFill>
    </fill>
    <fill>
      <patternFill patternType="solid">
        <fgColor rgb="FF9FC1A2"/>
        <bgColor indexed="35"/>
      </patternFill>
    </fill>
    <fill>
      <patternFill patternType="solid">
        <fgColor rgb="FFFFFF99"/>
        <bgColor indexed="41"/>
      </patternFill>
    </fill>
    <fill>
      <patternFill patternType="solid">
        <fgColor rgb="FFB5CAE1"/>
        <bgColor indexed="41"/>
      </patternFill>
    </fill>
    <fill>
      <patternFill patternType="solid">
        <fgColor rgb="FFFFCC99"/>
        <bgColor indexed="41"/>
      </patternFill>
    </fill>
    <fill>
      <patternFill patternType="solid">
        <fgColor rgb="FFFFCCFF"/>
        <bgColor indexed="41"/>
      </patternFill>
    </fill>
    <fill>
      <patternFill patternType="solid">
        <fgColor rgb="FFD06E9F"/>
        <bgColor indexed="61"/>
      </patternFill>
    </fill>
    <fill>
      <patternFill patternType="solid">
        <fgColor rgb="FFCC99FF"/>
        <bgColor indexed="24"/>
      </patternFill>
    </fill>
    <fill>
      <patternFill patternType="solid">
        <fgColor rgb="FFCCFFFF"/>
        <bgColor indexed="4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3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4D7A1"/>
        <bgColor indexed="64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15">
    <xf numFmtId="0" fontId="0" fillId="0" borderId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2" fillId="29" borderId="0" applyNumberFormat="0" applyBorder="0" applyAlignment="0" applyProtection="0"/>
    <xf numFmtId="0" fontId="13" fillId="30" borderId="23" applyNumberFormat="0" applyAlignment="0" applyProtection="0"/>
    <xf numFmtId="0" fontId="14" fillId="31" borderId="24" applyNumberFormat="0" applyAlignment="0" applyProtection="0"/>
    <xf numFmtId="43" fontId="1" fillId="0" borderId="0" applyFill="0" applyBorder="0" applyAlignment="0" applyProtection="0"/>
    <xf numFmtId="0" fontId="4" fillId="0" borderId="0"/>
    <xf numFmtId="0" fontId="5" fillId="0" borderId="0"/>
    <xf numFmtId="0" fontId="15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17" fillId="0" borderId="25" applyNumberFormat="0" applyFill="0" applyAlignment="0" applyProtection="0"/>
    <xf numFmtId="0" fontId="18" fillId="0" borderId="26" applyNumberFormat="0" applyFill="0" applyAlignment="0" applyProtection="0"/>
    <xf numFmtId="0" fontId="19" fillId="0" borderId="27" applyNumberFormat="0" applyFill="0" applyAlignment="0" applyProtection="0"/>
    <xf numFmtId="0" fontId="19" fillId="0" borderId="0" applyNumberFormat="0" applyFill="0" applyBorder="0" applyAlignment="0" applyProtection="0"/>
    <xf numFmtId="0" fontId="20" fillId="33" borderId="23" applyNumberFormat="0" applyAlignment="0" applyProtection="0"/>
    <xf numFmtId="0" fontId="21" fillId="0" borderId="28" applyNumberFormat="0" applyFill="0" applyAlignment="0" applyProtection="0"/>
    <xf numFmtId="0" fontId="22" fillId="3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35" borderId="29" applyNumberFormat="0" applyFont="0" applyAlignment="0" applyProtection="0"/>
    <xf numFmtId="0" fontId="23" fillId="30" borderId="30" applyNumberFormat="0" applyAlignment="0" applyProtection="0"/>
    <xf numFmtId="0" fontId="24" fillId="0" borderId="0" applyNumberFormat="0" applyFill="0" applyBorder="0" applyAlignment="0" applyProtection="0"/>
    <xf numFmtId="0" fontId="25" fillId="0" borderId="31" applyNumberFormat="0" applyFill="0" applyAlignment="0" applyProtection="0"/>
    <xf numFmtId="0" fontId="26" fillId="0" borderId="0" applyNumberFormat="0" applyFill="0" applyBorder="0" applyAlignment="0" applyProtection="0"/>
  </cellStyleXfs>
  <cellXfs count="454">
    <xf numFmtId="0" fontId="0" fillId="0" borderId="0" xfId="0"/>
    <xf numFmtId="11" fontId="0" fillId="0" borderId="0" xfId="0" applyNumberFormat="1"/>
    <xf numFmtId="0" fontId="2" fillId="0" borderId="0" xfId="0" applyFont="1"/>
    <xf numFmtId="0" fontId="0" fillId="2" borderId="0" xfId="0" applyFill="1"/>
    <xf numFmtId="2" fontId="0" fillId="0" borderId="0" xfId="0" applyNumberFormat="1"/>
    <xf numFmtId="0" fontId="4" fillId="0" borderId="0" xfId="185"/>
    <xf numFmtId="164" fontId="4" fillId="0" borderId="0" xfId="185" applyNumberFormat="1"/>
    <xf numFmtId="11" fontId="2" fillId="0" borderId="0" xfId="0" applyNumberFormat="1" applyFont="1"/>
    <xf numFmtId="0" fontId="4" fillId="0" borderId="0" xfId="185" applyAlignment="1">
      <alignment horizontal="center"/>
    </xf>
    <xf numFmtId="11" fontId="4" fillId="0" borderId="0" xfId="185" applyNumberFormat="1"/>
    <xf numFmtId="165" fontId="4" fillId="0" borderId="0" xfId="185" applyNumberFormat="1"/>
    <xf numFmtId="166" fontId="4" fillId="0" borderId="0" xfId="185" applyNumberFormat="1"/>
    <xf numFmtId="2" fontId="4" fillId="0" borderId="0" xfId="185" applyNumberFormat="1" applyAlignment="1">
      <alignment horizontal="center"/>
    </xf>
    <xf numFmtId="11" fontId="4" fillId="0" borderId="0" xfId="185" applyNumberFormat="1" applyAlignment="1">
      <alignment horizontal="center"/>
    </xf>
    <xf numFmtId="11" fontId="27" fillId="0" borderId="0" xfId="0" applyNumberFormat="1" applyFont="1"/>
    <xf numFmtId="1" fontId="0" fillId="0" borderId="0" xfId="0" applyNumberFormat="1"/>
    <xf numFmtId="11" fontId="0" fillId="37" borderId="0" xfId="0" applyNumberFormat="1" applyFill="1"/>
    <xf numFmtId="0" fontId="0" fillId="38" borderId="0" xfId="0" applyFill="1"/>
    <xf numFmtId="0" fontId="0" fillId="39" borderId="1" xfId="0" applyFill="1" applyBorder="1"/>
    <xf numFmtId="0" fontId="0" fillId="39" borderId="0" xfId="0" applyFill="1"/>
    <xf numFmtId="11" fontId="2" fillId="39" borderId="0" xfId="0" applyNumberFormat="1" applyFont="1" applyFill="1"/>
    <xf numFmtId="11" fontId="2" fillId="39" borderId="2" xfId="0" applyNumberFormat="1" applyFont="1" applyFill="1" applyBorder="1"/>
    <xf numFmtId="0" fontId="0" fillId="40" borderId="3" xfId="0" applyFill="1" applyBorder="1"/>
    <xf numFmtId="0" fontId="0" fillId="41" borderId="1" xfId="0" applyFill="1" applyBorder="1"/>
    <xf numFmtId="0" fontId="0" fillId="41" borderId="0" xfId="0" applyFill="1"/>
    <xf numFmtId="11" fontId="2" fillId="41" borderId="0" xfId="0" applyNumberFormat="1" applyFont="1" applyFill="1"/>
    <xf numFmtId="11" fontId="2" fillId="41" borderId="2" xfId="0" applyNumberFormat="1" applyFont="1" applyFill="1" applyBorder="1"/>
    <xf numFmtId="0" fontId="0" fillId="42" borderId="4" xfId="0" applyFill="1" applyBorder="1"/>
    <xf numFmtId="0" fontId="0" fillId="42" borderId="1" xfId="0" applyFill="1" applyBorder="1"/>
    <xf numFmtId="0" fontId="0" fillId="42" borderId="5" xfId="0" applyFill="1" applyBorder="1"/>
    <xf numFmtId="0" fontId="0" fillId="42" borderId="3" xfId="0" applyFill="1" applyBorder="1"/>
    <xf numFmtId="0" fontId="0" fillId="42" borderId="0" xfId="0" applyFill="1"/>
    <xf numFmtId="0" fontId="0" fillId="42" borderId="6" xfId="0" applyFill="1" applyBorder="1"/>
    <xf numFmtId="11" fontId="2" fillId="42" borderId="0" xfId="0" applyNumberFormat="1" applyFont="1" applyFill="1"/>
    <xf numFmtId="0" fontId="2" fillId="42" borderId="6" xfId="0" applyFont="1" applyFill="1" applyBorder="1"/>
    <xf numFmtId="0" fontId="0" fillId="42" borderId="7" xfId="0" applyFill="1" applyBorder="1"/>
    <xf numFmtId="11" fontId="2" fillId="42" borderId="2" xfId="0" applyNumberFormat="1" applyFont="1" applyFill="1" applyBorder="1"/>
    <xf numFmtId="0" fontId="0" fillId="43" borderId="1" xfId="0" applyFill="1" applyBorder="1"/>
    <xf numFmtId="0" fontId="0" fillId="43" borderId="0" xfId="0" applyFill="1"/>
    <xf numFmtId="11" fontId="2" fillId="43" borderId="0" xfId="0" applyNumberFormat="1" applyFont="1" applyFill="1"/>
    <xf numFmtId="0" fontId="2" fillId="43" borderId="2" xfId="0" applyFont="1" applyFill="1" applyBorder="1"/>
    <xf numFmtId="0" fontId="0" fillId="44" borderId="4" xfId="0" applyFill="1" applyBorder="1"/>
    <xf numFmtId="0" fontId="0" fillId="44" borderId="1" xfId="0" applyFill="1" applyBorder="1"/>
    <xf numFmtId="0" fontId="0" fillId="44" borderId="5" xfId="0" applyFill="1" applyBorder="1"/>
    <xf numFmtId="0" fontId="0" fillId="44" borderId="3" xfId="0" applyFill="1" applyBorder="1"/>
    <xf numFmtId="0" fontId="0" fillId="44" borderId="0" xfId="0" applyFill="1"/>
    <xf numFmtId="0" fontId="0" fillId="44" borderId="6" xfId="0" applyFill="1" applyBorder="1"/>
    <xf numFmtId="0" fontId="2" fillId="44" borderId="3" xfId="0" applyFont="1" applyFill="1" applyBorder="1"/>
    <xf numFmtId="11" fontId="2" fillId="44" borderId="0" xfId="0" applyNumberFormat="1" applyFont="1" applyFill="1"/>
    <xf numFmtId="0" fontId="2" fillId="44" borderId="6" xfId="0" applyFont="1" applyFill="1" applyBorder="1"/>
    <xf numFmtId="0" fontId="2" fillId="44" borderId="7" xfId="0" applyFont="1" applyFill="1" applyBorder="1"/>
    <xf numFmtId="0" fontId="2" fillId="44" borderId="2" xfId="0" applyFont="1" applyFill="1" applyBorder="1"/>
    <xf numFmtId="0" fontId="2" fillId="44" borderId="8" xfId="0" applyFont="1" applyFill="1" applyBorder="1"/>
    <xf numFmtId="0" fontId="0" fillId="45" borderId="4" xfId="0" applyFill="1" applyBorder="1"/>
    <xf numFmtId="0" fontId="0" fillId="45" borderId="1" xfId="0" applyFill="1" applyBorder="1"/>
    <xf numFmtId="0" fontId="0" fillId="45" borderId="5" xfId="0" applyFill="1" applyBorder="1"/>
    <xf numFmtId="0" fontId="0" fillId="45" borderId="3" xfId="0" applyFill="1" applyBorder="1"/>
    <xf numFmtId="0" fontId="0" fillId="45" borderId="0" xfId="0" applyFill="1"/>
    <xf numFmtId="0" fontId="0" fillId="45" borderId="6" xfId="0" applyFill="1" applyBorder="1"/>
    <xf numFmtId="0" fontId="2" fillId="45" borderId="3" xfId="0" applyFont="1" applyFill="1" applyBorder="1"/>
    <xf numFmtId="11" fontId="2" fillId="45" borderId="0" xfId="0" applyNumberFormat="1" applyFont="1" applyFill="1"/>
    <xf numFmtId="0" fontId="2" fillId="45" borderId="6" xfId="0" applyFont="1" applyFill="1" applyBorder="1"/>
    <xf numFmtId="0" fontId="2" fillId="45" borderId="7" xfId="0" applyFont="1" applyFill="1" applyBorder="1"/>
    <xf numFmtId="0" fontId="2" fillId="45" borderId="2" xfId="0" applyFont="1" applyFill="1" applyBorder="1"/>
    <xf numFmtId="0" fontId="2" fillId="45" borderId="8" xfId="0" applyFont="1" applyFill="1" applyBorder="1"/>
    <xf numFmtId="0" fontId="0" fillId="40" borderId="4" xfId="0" applyFill="1" applyBorder="1"/>
    <xf numFmtId="0" fontId="0" fillId="40" borderId="1" xfId="0" applyFill="1" applyBorder="1"/>
    <xf numFmtId="0" fontId="0" fillId="40" borderId="5" xfId="0" applyFill="1" applyBorder="1"/>
    <xf numFmtId="0" fontId="0" fillId="40" borderId="0" xfId="0" applyFill="1"/>
    <xf numFmtId="0" fontId="0" fillId="40" borderId="6" xfId="0" applyFill="1" applyBorder="1"/>
    <xf numFmtId="0" fontId="2" fillId="40" borderId="3" xfId="0" applyFont="1" applyFill="1" applyBorder="1"/>
    <xf numFmtId="11" fontId="2" fillId="40" borderId="0" xfId="0" applyNumberFormat="1" applyFont="1" applyFill="1"/>
    <xf numFmtId="0" fontId="2" fillId="40" borderId="6" xfId="0" applyFont="1" applyFill="1" applyBorder="1"/>
    <xf numFmtId="0" fontId="2" fillId="40" borderId="7" xfId="0" applyFont="1" applyFill="1" applyBorder="1"/>
    <xf numFmtId="0" fontId="2" fillId="40" borderId="2" xfId="0" applyFont="1" applyFill="1" applyBorder="1"/>
    <xf numFmtId="0" fontId="2" fillId="40" borderId="8" xfId="0" applyFont="1" applyFill="1" applyBorder="1"/>
    <xf numFmtId="0" fontId="0" fillId="46" borderId="1" xfId="0" applyFill="1" applyBorder="1"/>
    <xf numFmtId="0" fontId="0" fillId="46" borderId="5" xfId="0" applyFill="1" applyBorder="1"/>
    <xf numFmtId="0" fontId="0" fillId="46" borderId="0" xfId="0" applyFill="1"/>
    <xf numFmtId="0" fontId="2" fillId="46" borderId="6" xfId="0" applyFont="1" applyFill="1" applyBorder="1"/>
    <xf numFmtId="11" fontId="2" fillId="46" borderId="0" xfId="0" applyNumberFormat="1" applyFont="1" applyFill="1"/>
    <xf numFmtId="11" fontId="2" fillId="46" borderId="2" xfId="0" applyNumberFormat="1" applyFont="1" applyFill="1" applyBorder="1"/>
    <xf numFmtId="0" fontId="2" fillId="46" borderId="8" xfId="0" applyFont="1" applyFill="1" applyBorder="1"/>
    <xf numFmtId="0" fontId="0" fillId="47" borderId="0" xfId="0" applyFill="1"/>
    <xf numFmtId="0" fontId="0" fillId="48" borderId="0" xfId="0" applyFill="1"/>
    <xf numFmtId="11" fontId="2" fillId="48" borderId="0" xfId="0" applyNumberFormat="1" applyFont="1" applyFill="1"/>
    <xf numFmtId="0" fontId="0" fillId="49" borderId="0" xfId="0" applyFill="1"/>
    <xf numFmtId="11" fontId="2" fillId="49" borderId="0" xfId="0" applyNumberFormat="1" applyFont="1" applyFill="1"/>
    <xf numFmtId="0" fontId="0" fillId="3" borderId="4" xfId="0" applyFill="1" applyBorder="1"/>
    <xf numFmtId="0" fontId="0" fillId="3" borderId="1" xfId="0" applyFill="1" applyBorder="1"/>
    <xf numFmtId="0" fontId="0" fillId="3" borderId="5" xfId="0" applyFill="1" applyBorder="1"/>
    <xf numFmtId="0" fontId="0" fillId="3" borderId="3" xfId="0" applyFill="1" applyBorder="1"/>
    <xf numFmtId="0" fontId="0" fillId="3" borderId="0" xfId="0" applyFill="1"/>
    <xf numFmtId="0" fontId="0" fillId="3" borderId="6" xfId="0" applyFill="1" applyBorder="1"/>
    <xf numFmtId="11" fontId="2" fillId="3" borderId="0" xfId="0" applyNumberFormat="1" applyFont="1" applyFill="1"/>
    <xf numFmtId="0" fontId="2" fillId="3" borderId="6" xfId="0" applyFont="1" applyFill="1" applyBorder="1"/>
    <xf numFmtId="11" fontId="2" fillId="3" borderId="2" xfId="0" applyNumberFormat="1" applyFont="1" applyFill="1" applyBorder="1"/>
    <xf numFmtId="0" fontId="2" fillId="3" borderId="8" xfId="0" applyFont="1" applyFill="1" applyBorder="1"/>
    <xf numFmtId="0" fontId="0" fillId="50" borderId="4" xfId="0" applyFill="1" applyBorder="1"/>
    <xf numFmtId="0" fontId="0" fillId="50" borderId="1" xfId="0" applyFill="1" applyBorder="1"/>
    <xf numFmtId="0" fontId="0" fillId="50" borderId="3" xfId="0" applyFill="1" applyBorder="1"/>
    <xf numFmtId="0" fontId="0" fillId="50" borderId="0" xfId="0" applyFill="1"/>
    <xf numFmtId="0" fontId="0" fillId="50" borderId="7" xfId="0" applyFill="1" applyBorder="1"/>
    <xf numFmtId="0" fontId="0" fillId="51" borderId="4" xfId="0" applyFill="1" applyBorder="1"/>
    <xf numFmtId="0" fontId="0" fillId="51" borderId="1" xfId="0" applyFill="1" applyBorder="1"/>
    <xf numFmtId="0" fontId="0" fillId="51" borderId="5" xfId="0" applyFill="1" applyBorder="1"/>
    <xf numFmtId="0" fontId="0" fillId="51" borderId="3" xfId="0" applyFill="1" applyBorder="1"/>
    <xf numFmtId="0" fontId="0" fillId="51" borderId="0" xfId="0" applyFill="1"/>
    <xf numFmtId="0" fontId="0" fillId="51" borderId="6" xfId="0" applyFill="1" applyBorder="1"/>
    <xf numFmtId="11" fontId="2" fillId="51" borderId="0" xfId="0" applyNumberFormat="1" applyFont="1" applyFill="1"/>
    <xf numFmtId="0" fontId="2" fillId="51" borderId="6" xfId="0" applyFont="1" applyFill="1" applyBorder="1"/>
    <xf numFmtId="0" fontId="0" fillId="51" borderId="7" xfId="0" applyFill="1" applyBorder="1"/>
    <xf numFmtId="11" fontId="2" fillId="51" borderId="2" xfId="0" applyNumberFormat="1" applyFont="1" applyFill="1" applyBorder="1"/>
    <xf numFmtId="0" fontId="2" fillId="51" borderId="8" xfId="0" applyFont="1" applyFill="1" applyBorder="1"/>
    <xf numFmtId="0" fontId="0" fillId="52" borderId="1" xfId="0" applyFill="1" applyBorder="1"/>
    <xf numFmtId="0" fontId="0" fillId="52" borderId="0" xfId="0" applyFill="1"/>
    <xf numFmtId="11" fontId="2" fillId="52" borderId="2" xfId="0" applyNumberFormat="1" applyFont="1" applyFill="1" applyBorder="1"/>
    <xf numFmtId="0" fontId="0" fillId="53" borderId="4" xfId="0" applyFill="1" applyBorder="1"/>
    <xf numFmtId="0" fontId="0" fillId="53" borderId="1" xfId="0" applyFill="1" applyBorder="1"/>
    <xf numFmtId="0" fontId="0" fillId="53" borderId="5" xfId="0" applyFill="1" applyBorder="1"/>
    <xf numFmtId="0" fontId="0" fillId="53" borderId="3" xfId="0" applyFill="1" applyBorder="1"/>
    <xf numFmtId="0" fontId="0" fillId="53" borderId="0" xfId="0" applyFill="1"/>
    <xf numFmtId="0" fontId="2" fillId="53" borderId="6" xfId="0" applyFont="1" applyFill="1" applyBorder="1"/>
    <xf numFmtId="11" fontId="2" fillId="53" borderId="0" xfId="0" applyNumberFormat="1" applyFont="1" applyFill="1"/>
    <xf numFmtId="0" fontId="0" fillId="53" borderId="7" xfId="0" applyFill="1" applyBorder="1"/>
    <xf numFmtId="11" fontId="2" fillId="53" borderId="2" xfId="0" applyNumberFormat="1" applyFont="1" applyFill="1" applyBorder="1"/>
    <xf numFmtId="0" fontId="2" fillId="53" borderId="8" xfId="0" applyFont="1" applyFill="1" applyBorder="1"/>
    <xf numFmtId="0" fontId="2" fillId="3" borderId="0" xfId="0" applyFont="1" applyFill="1"/>
    <xf numFmtId="0" fontId="2" fillId="3" borderId="2" xfId="0" applyFont="1" applyFill="1" applyBorder="1"/>
    <xf numFmtId="11" fontId="2" fillId="54" borderId="2" xfId="0" applyNumberFormat="1" applyFont="1" applyFill="1" applyBorder="1"/>
    <xf numFmtId="0" fontId="0" fillId="3" borderId="7" xfId="0" applyFill="1" applyBorder="1"/>
    <xf numFmtId="0" fontId="2" fillId="53" borderId="0" xfId="0" applyFont="1" applyFill="1"/>
    <xf numFmtId="11" fontId="2" fillId="47" borderId="0" xfId="0" applyNumberFormat="1" applyFont="1" applyFill="1"/>
    <xf numFmtId="0" fontId="0" fillId="48" borderId="4" xfId="0" applyFill="1" applyBorder="1"/>
    <xf numFmtId="0" fontId="0" fillId="48" borderId="1" xfId="0" applyFill="1" applyBorder="1"/>
    <xf numFmtId="0" fontId="0" fillId="48" borderId="5" xfId="0" applyFill="1" applyBorder="1"/>
    <xf numFmtId="0" fontId="0" fillId="48" borderId="3" xfId="0" applyFill="1" applyBorder="1"/>
    <xf numFmtId="0" fontId="2" fillId="48" borderId="6" xfId="0" applyFont="1" applyFill="1" applyBorder="1"/>
    <xf numFmtId="0" fontId="0" fillId="48" borderId="7" xfId="0" applyFill="1" applyBorder="1"/>
    <xf numFmtId="11" fontId="2" fillId="48" borderId="2" xfId="0" applyNumberFormat="1" applyFont="1" applyFill="1" applyBorder="1"/>
    <xf numFmtId="0" fontId="2" fillId="48" borderId="8" xfId="0" applyFont="1" applyFill="1" applyBorder="1"/>
    <xf numFmtId="0" fontId="0" fillId="49" borderId="4" xfId="0" applyFill="1" applyBorder="1"/>
    <xf numFmtId="0" fontId="0" fillId="49" borderId="1" xfId="0" applyFill="1" applyBorder="1"/>
    <xf numFmtId="0" fontId="0" fillId="49" borderId="5" xfId="0" applyFill="1" applyBorder="1"/>
    <xf numFmtId="0" fontId="0" fillId="49" borderId="3" xfId="0" applyFill="1" applyBorder="1"/>
    <xf numFmtId="0" fontId="2" fillId="49" borderId="6" xfId="0" applyFont="1" applyFill="1" applyBorder="1"/>
    <xf numFmtId="0" fontId="0" fillId="49" borderId="7" xfId="0" applyFill="1" applyBorder="1"/>
    <xf numFmtId="11" fontId="2" fillId="49" borderId="2" xfId="0" applyNumberFormat="1" applyFont="1" applyFill="1" applyBorder="1"/>
    <xf numFmtId="0" fontId="2" fillId="49" borderId="8" xfId="0" applyFont="1" applyFill="1" applyBorder="1"/>
    <xf numFmtId="0" fontId="0" fillId="47" borderId="4" xfId="0" applyFill="1" applyBorder="1"/>
    <xf numFmtId="0" fontId="0" fillId="47" borderId="3" xfId="0" applyFill="1" applyBorder="1"/>
    <xf numFmtId="0" fontId="2" fillId="48" borderId="0" xfId="0" applyFont="1" applyFill="1"/>
    <xf numFmtId="0" fontId="2" fillId="49" borderId="0" xfId="0" applyFont="1" applyFill="1"/>
    <xf numFmtId="0" fontId="2" fillId="48" borderId="2" xfId="0" applyFont="1" applyFill="1" applyBorder="1"/>
    <xf numFmtId="0" fontId="2" fillId="49" borderId="2" xfId="0" applyFont="1" applyFill="1" applyBorder="1"/>
    <xf numFmtId="0" fontId="2" fillId="46" borderId="0" xfId="0" applyFont="1" applyFill="1"/>
    <xf numFmtId="0" fontId="2" fillId="46" borderId="2" xfId="0" applyFont="1" applyFill="1" applyBorder="1"/>
    <xf numFmtId="0" fontId="0" fillId="4" borderId="4" xfId="0" applyFill="1" applyBorder="1"/>
    <xf numFmtId="0" fontId="0" fillId="4" borderId="1" xfId="0" applyFill="1" applyBorder="1"/>
    <xf numFmtId="0" fontId="0" fillId="4" borderId="5" xfId="0" applyFill="1" applyBorder="1"/>
    <xf numFmtId="0" fontId="0" fillId="4" borderId="3" xfId="0" applyFill="1" applyBorder="1"/>
    <xf numFmtId="0" fontId="0" fillId="4" borderId="0" xfId="0" applyFill="1"/>
    <xf numFmtId="0" fontId="0" fillId="4" borderId="6" xfId="0" applyFill="1" applyBorder="1"/>
    <xf numFmtId="0" fontId="0" fillId="47" borderId="5" xfId="0" applyFill="1" applyBorder="1"/>
    <xf numFmtId="0" fontId="0" fillId="47" borderId="6" xfId="0" applyFill="1" applyBorder="1"/>
    <xf numFmtId="0" fontId="2" fillId="47" borderId="6" xfId="0" applyFont="1" applyFill="1" applyBorder="1"/>
    <xf numFmtId="0" fontId="2" fillId="47" borderId="8" xfId="0" applyFont="1" applyFill="1" applyBorder="1"/>
    <xf numFmtId="0" fontId="2" fillId="52" borderId="0" xfId="0" applyFont="1" applyFill="1"/>
    <xf numFmtId="0" fontId="2" fillId="50" borderId="0" xfId="0" applyFont="1" applyFill="1"/>
    <xf numFmtId="0" fontId="2" fillId="53" borderId="2" xfId="0" applyFont="1" applyFill="1" applyBorder="1"/>
    <xf numFmtId="0" fontId="2" fillId="41" borderId="0" xfId="0" applyFont="1" applyFill="1"/>
    <xf numFmtId="0" fontId="2" fillId="41" borderId="2" xfId="0" applyFont="1" applyFill="1" applyBorder="1"/>
    <xf numFmtId="0" fontId="0" fillId="39" borderId="2" xfId="0" applyFill="1" applyBorder="1"/>
    <xf numFmtId="0" fontId="0" fillId="42" borderId="2" xfId="0" applyFill="1" applyBorder="1"/>
    <xf numFmtId="0" fontId="0" fillId="55" borderId="1" xfId="0" applyFill="1" applyBorder="1"/>
    <xf numFmtId="0" fontId="0" fillId="55" borderId="0" xfId="0" applyFill="1"/>
    <xf numFmtId="11" fontId="2" fillId="55" borderId="0" xfId="0" applyNumberFormat="1" applyFont="1" applyFill="1"/>
    <xf numFmtId="11" fontId="2" fillId="55" borderId="2" xfId="0" applyNumberFormat="1" applyFont="1" applyFill="1" applyBorder="1"/>
    <xf numFmtId="0" fontId="0" fillId="56" borderId="1" xfId="0" applyFill="1" applyBorder="1"/>
    <xf numFmtId="0" fontId="0" fillId="56" borderId="5" xfId="0" applyFill="1" applyBorder="1"/>
    <xf numFmtId="0" fontId="0" fillId="56" borderId="0" xfId="0" applyFill="1"/>
    <xf numFmtId="0" fontId="0" fillId="56" borderId="6" xfId="0" applyFill="1" applyBorder="1"/>
    <xf numFmtId="11" fontId="2" fillId="56" borderId="0" xfId="0" applyNumberFormat="1" applyFont="1" applyFill="1"/>
    <xf numFmtId="0" fontId="2" fillId="56" borderId="6" xfId="0" applyFont="1" applyFill="1" applyBorder="1"/>
    <xf numFmtId="0" fontId="2" fillId="56" borderId="2" xfId="0" applyFont="1" applyFill="1" applyBorder="1"/>
    <xf numFmtId="0" fontId="2" fillId="56" borderId="8" xfId="0" applyFont="1" applyFill="1" applyBorder="1"/>
    <xf numFmtId="0" fontId="2" fillId="42" borderId="0" xfId="0" applyFont="1" applyFill="1"/>
    <xf numFmtId="0" fontId="2" fillId="42" borderId="2" xfId="0" applyFont="1" applyFill="1" applyBorder="1"/>
    <xf numFmtId="0" fontId="0" fillId="41" borderId="2" xfId="0" applyFill="1" applyBorder="1"/>
    <xf numFmtId="0" fontId="2" fillId="39" borderId="0" xfId="0" applyFont="1" applyFill="1"/>
    <xf numFmtId="0" fontId="2" fillId="39" borderId="2" xfId="0" applyFont="1" applyFill="1" applyBorder="1"/>
    <xf numFmtId="0" fontId="2" fillId="43" borderId="0" xfId="0" applyFont="1" applyFill="1"/>
    <xf numFmtId="0" fontId="0" fillId="57" borderId="4" xfId="0" applyFill="1" applyBorder="1"/>
    <xf numFmtId="0" fontId="0" fillId="57" borderId="1" xfId="0" applyFill="1" applyBorder="1"/>
    <xf numFmtId="0" fontId="0" fillId="57" borderId="5" xfId="0" applyFill="1" applyBorder="1"/>
    <xf numFmtId="0" fontId="0" fillId="57" borderId="3" xfId="0" applyFill="1" applyBorder="1"/>
    <xf numFmtId="0" fontId="0" fillId="57" borderId="0" xfId="0" applyFill="1"/>
    <xf numFmtId="0" fontId="0" fillId="57" borderId="6" xfId="0" applyFill="1" applyBorder="1"/>
    <xf numFmtId="0" fontId="2" fillId="57" borderId="3" xfId="0" applyFont="1" applyFill="1" applyBorder="1"/>
    <xf numFmtId="11" fontId="2" fillId="57" borderId="0" xfId="0" applyNumberFormat="1" applyFont="1" applyFill="1"/>
    <xf numFmtId="0" fontId="0" fillId="57" borderId="7" xfId="0" applyFill="1" applyBorder="1"/>
    <xf numFmtId="0" fontId="0" fillId="57" borderId="2" xfId="0" applyFill="1" applyBorder="1"/>
    <xf numFmtId="0" fontId="0" fillId="57" borderId="8" xfId="0" applyFill="1" applyBorder="1"/>
    <xf numFmtId="0" fontId="2" fillId="57" borderId="6" xfId="0" applyFont="1" applyFill="1" applyBorder="1"/>
    <xf numFmtId="0" fontId="0" fillId="58" borderId="4" xfId="0" applyFill="1" applyBorder="1"/>
    <xf numFmtId="0" fontId="0" fillId="58" borderId="1" xfId="0" applyFill="1" applyBorder="1"/>
    <xf numFmtId="0" fontId="0" fillId="58" borderId="5" xfId="0" applyFill="1" applyBorder="1"/>
    <xf numFmtId="0" fontId="0" fillId="58" borderId="3" xfId="0" applyFill="1" applyBorder="1"/>
    <xf numFmtId="0" fontId="0" fillId="58" borderId="0" xfId="0" applyFill="1"/>
    <xf numFmtId="0" fontId="0" fillId="58" borderId="6" xfId="0" applyFill="1" applyBorder="1"/>
    <xf numFmtId="0" fontId="2" fillId="58" borderId="3" xfId="0" applyFont="1" applyFill="1" applyBorder="1"/>
    <xf numFmtId="11" fontId="2" fillId="58" borderId="0" xfId="0" applyNumberFormat="1" applyFont="1" applyFill="1"/>
    <xf numFmtId="0" fontId="2" fillId="58" borderId="6" xfId="0" applyFont="1" applyFill="1" applyBorder="1"/>
    <xf numFmtId="0" fontId="0" fillId="58" borderId="7" xfId="0" applyFill="1" applyBorder="1"/>
    <xf numFmtId="0" fontId="0" fillId="58" borderId="2" xfId="0" applyFill="1" applyBorder="1"/>
    <xf numFmtId="0" fontId="0" fillId="58" borderId="8" xfId="0" applyFill="1" applyBorder="1"/>
    <xf numFmtId="0" fontId="0" fillId="58" borderId="9" xfId="0" applyFill="1" applyBorder="1"/>
    <xf numFmtId="0" fontId="0" fillId="58" borderId="10" xfId="0" applyFill="1" applyBorder="1"/>
    <xf numFmtId="11" fontId="2" fillId="58" borderId="10" xfId="0" applyNumberFormat="1" applyFont="1" applyFill="1" applyBorder="1"/>
    <xf numFmtId="0" fontId="0" fillId="58" borderId="11" xfId="0" applyFill="1" applyBorder="1"/>
    <xf numFmtId="167" fontId="2" fillId="57" borderId="0" xfId="0" applyNumberFormat="1" applyFont="1" applyFill="1"/>
    <xf numFmtId="0" fontId="0" fillId="57" borderId="9" xfId="0" applyFill="1" applyBorder="1"/>
    <xf numFmtId="0" fontId="0" fillId="57" borderId="10" xfId="0" applyFill="1" applyBorder="1"/>
    <xf numFmtId="11" fontId="2" fillId="57" borderId="10" xfId="0" applyNumberFormat="1" applyFont="1" applyFill="1" applyBorder="1"/>
    <xf numFmtId="0" fontId="0" fillId="57" borderId="11" xfId="0" applyFill="1" applyBorder="1"/>
    <xf numFmtId="167" fontId="2" fillId="57" borderId="10" xfId="0" applyNumberFormat="1" applyFont="1" applyFill="1" applyBorder="1"/>
    <xf numFmtId="0" fontId="0" fillId="42" borderId="9" xfId="0" applyFill="1" applyBorder="1"/>
    <xf numFmtId="0" fontId="0" fillId="42" borderId="10" xfId="0" applyFill="1" applyBorder="1"/>
    <xf numFmtId="0" fontId="0" fillId="42" borderId="8" xfId="0" applyFill="1" applyBorder="1"/>
    <xf numFmtId="0" fontId="0" fillId="42" borderId="11" xfId="0" applyFill="1" applyBorder="1"/>
    <xf numFmtId="0" fontId="0" fillId="46" borderId="9" xfId="0" applyFill="1" applyBorder="1"/>
    <xf numFmtId="0" fontId="0" fillId="46" borderId="10" xfId="0" applyFill="1" applyBorder="1"/>
    <xf numFmtId="0" fontId="0" fillId="46" borderId="11" xfId="0" applyFill="1" applyBorder="1"/>
    <xf numFmtId="0" fontId="0" fillId="48" borderId="9" xfId="0" applyFill="1" applyBorder="1"/>
    <xf numFmtId="0" fontId="0" fillId="48" borderId="10" xfId="0" applyFill="1" applyBorder="1"/>
    <xf numFmtId="0" fontId="0" fillId="48" borderId="11" xfId="0" applyFill="1" applyBorder="1"/>
    <xf numFmtId="0" fontId="0" fillId="49" borderId="9" xfId="0" applyFill="1" applyBorder="1"/>
    <xf numFmtId="0" fontId="0" fillId="49" borderId="10" xfId="0" applyFill="1" applyBorder="1"/>
    <xf numFmtId="0" fontId="0" fillId="49" borderId="11" xfId="0" applyFill="1" applyBorder="1"/>
    <xf numFmtId="0" fontId="0" fillId="47" borderId="7" xfId="0" applyFill="1" applyBorder="1"/>
    <xf numFmtId="0" fontId="0" fillId="47" borderId="1" xfId="0" applyFill="1" applyBorder="1"/>
    <xf numFmtId="11" fontId="2" fillId="47" borderId="2" xfId="0" applyNumberFormat="1" applyFont="1" applyFill="1" applyBorder="1"/>
    <xf numFmtId="11" fontId="2" fillId="47" borderId="2" xfId="0" applyNumberFormat="1" applyFont="1" applyFill="1" applyBorder="1" applyAlignment="1">
      <alignment horizontal="right"/>
    </xf>
    <xf numFmtId="0" fontId="0" fillId="47" borderId="12" xfId="0" applyFill="1" applyBorder="1"/>
    <xf numFmtId="0" fontId="0" fillId="47" borderId="13" xfId="0" applyFill="1" applyBorder="1"/>
    <xf numFmtId="11" fontId="2" fillId="47" borderId="13" xfId="0" applyNumberFormat="1" applyFont="1" applyFill="1" applyBorder="1"/>
    <xf numFmtId="11" fontId="2" fillId="47" borderId="14" xfId="0" applyNumberFormat="1" applyFont="1" applyFill="1" applyBorder="1"/>
    <xf numFmtId="11" fontId="2" fillId="47" borderId="14" xfId="0" applyNumberFormat="1" applyFont="1" applyFill="1" applyBorder="1" applyAlignment="1">
      <alignment horizontal="right"/>
    </xf>
    <xf numFmtId="0" fontId="0" fillId="3" borderId="9" xfId="0" applyFill="1" applyBorder="1"/>
    <xf numFmtId="0" fontId="0" fillId="3" borderId="10" xfId="0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0" fillId="53" borderId="9" xfId="0" applyFill="1" applyBorder="1"/>
    <xf numFmtId="0" fontId="0" fillId="53" borderId="10" xfId="0" applyFill="1" applyBorder="1"/>
    <xf numFmtId="0" fontId="0" fillId="53" borderId="11" xfId="0" applyFill="1" applyBorder="1"/>
    <xf numFmtId="0" fontId="2" fillId="52" borderId="2" xfId="0" applyFont="1" applyFill="1" applyBorder="1"/>
    <xf numFmtId="0" fontId="2" fillId="50" borderId="2" xfId="0" applyFont="1" applyFill="1" applyBorder="1"/>
    <xf numFmtId="0" fontId="0" fillId="51" borderId="9" xfId="0" applyFill="1" applyBorder="1"/>
    <xf numFmtId="0" fontId="0" fillId="51" borderId="10" xfId="0" applyFill="1" applyBorder="1"/>
    <xf numFmtId="0" fontId="0" fillId="51" borderId="11" xfId="0" applyFill="1" applyBorder="1"/>
    <xf numFmtId="0" fontId="0" fillId="52" borderId="9" xfId="0" applyFill="1" applyBorder="1"/>
    <xf numFmtId="0" fontId="0" fillId="52" borderId="10" xfId="0" applyFill="1" applyBorder="1"/>
    <xf numFmtId="0" fontId="0" fillId="52" borderId="11" xfId="0" applyFill="1" applyBorder="1"/>
    <xf numFmtId="0" fontId="2" fillId="55" borderId="0" xfId="0" applyFont="1" applyFill="1"/>
    <xf numFmtId="0" fontId="2" fillId="55" borderId="2" xfId="0" applyFont="1" applyFill="1" applyBorder="1"/>
    <xf numFmtId="0" fontId="0" fillId="55" borderId="9" xfId="0" applyFill="1" applyBorder="1"/>
    <xf numFmtId="0" fontId="0" fillId="55" borderId="10" xfId="0" applyFill="1" applyBorder="1"/>
    <xf numFmtId="0" fontId="0" fillId="55" borderId="11" xfId="0" applyFill="1" applyBorder="1"/>
    <xf numFmtId="0" fontId="0" fillId="56" borderId="9" xfId="0" applyFill="1" applyBorder="1"/>
    <xf numFmtId="0" fontId="0" fillId="56" borderId="10" xfId="0" applyFill="1" applyBorder="1"/>
    <xf numFmtId="0" fontId="2" fillId="56" borderId="10" xfId="0" applyFont="1" applyFill="1" applyBorder="1"/>
    <xf numFmtId="0" fontId="2" fillId="56" borderId="11" xfId="0" applyFont="1" applyFill="1" applyBorder="1"/>
    <xf numFmtId="0" fontId="0" fillId="59" borderId="4" xfId="0" applyFill="1" applyBorder="1"/>
    <xf numFmtId="0" fontId="0" fillId="59" borderId="1" xfId="0" applyFill="1" applyBorder="1"/>
    <xf numFmtId="0" fontId="0" fillId="59" borderId="5" xfId="0" applyFill="1" applyBorder="1"/>
    <xf numFmtId="0" fontId="0" fillId="59" borderId="3" xfId="0" applyFill="1" applyBorder="1"/>
    <xf numFmtId="0" fontId="0" fillId="59" borderId="0" xfId="0" applyFill="1"/>
    <xf numFmtId="0" fontId="0" fillId="59" borderId="6" xfId="0" applyFill="1" applyBorder="1"/>
    <xf numFmtId="0" fontId="2" fillId="59" borderId="3" xfId="0" applyFont="1" applyFill="1" applyBorder="1"/>
    <xf numFmtId="11" fontId="2" fillId="59" borderId="0" xfId="0" applyNumberFormat="1" applyFont="1" applyFill="1"/>
    <xf numFmtId="0" fontId="2" fillId="59" borderId="6" xfId="0" applyFont="1" applyFill="1" applyBorder="1"/>
    <xf numFmtId="0" fontId="0" fillId="59" borderId="7" xfId="0" applyFill="1" applyBorder="1"/>
    <xf numFmtId="0" fontId="0" fillId="59" borderId="2" xfId="0" applyFill="1" applyBorder="1"/>
    <xf numFmtId="0" fontId="0" fillId="59" borderId="8" xfId="0" applyFill="1" applyBorder="1"/>
    <xf numFmtId="0" fontId="0" fillId="59" borderId="9" xfId="0" applyFill="1" applyBorder="1"/>
    <xf numFmtId="0" fontId="0" fillId="59" borderId="10" xfId="0" applyFill="1" applyBorder="1"/>
    <xf numFmtId="11" fontId="2" fillId="59" borderId="10" xfId="0" applyNumberFormat="1" applyFont="1" applyFill="1" applyBorder="1"/>
    <xf numFmtId="0" fontId="0" fillId="59" borderId="11" xfId="0" applyFill="1" applyBorder="1"/>
    <xf numFmtId="0" fontId="0" fillId="60" borderId="4" xfId="0" applyFill="1" applyBorder="1"/>
    <xf numFmtId="0" fontId="0" fillId="60" borderId="1" xfId="0" applyFill="1" applyBorder="1"/>
    <xf numFmtId="0" fontId="0" fillId="60" borderId="3" xfId="0" applyFill="1" applyBorder="1"/>
    <xf numFmtId="0" fontId="0" fillId="60" borderId="0" xfId="0" applyFill="1"/>
    <xf numFmtId="0" fontId="2" fillId="60" borderId="3" xfId="0" applyFont="1" applyFill="1" applyBorder="1"/>
    <xf numFmtId="11" fontId="2" fillId="60" borderId="0" xfId="0" applyNumberFormat="1" applyFont="1" applyFill="1"/>
    <xf numFmtId="0" fontId="0" fillId="60" borderId="7" xfId="0" applyFill="1" applyBorder="1"/>
    <xf numFmtId="11" fontId="0" fillId="60" borderId="2" xfId="0" applyNumberFormat="1" applyFill="1" applyBorder="1"/>
    <xf numFmtId="0" fontId="0" fillId="60" borderId="9" xfId="0" applyFill="1" applyBorder="1"/>
    <xf numFmtId="0" fontId="0" fillId="60" borderId="10" xfId="0" applyFill="1" applyBorder="1"/>
    <xf numFmtId="11" fontId="2" fillId="60" borderId="10" xfId="0" applyNumberFormat="1" applyFont="1" applyFill="1" applyBorder="1"/>
    <xf numFmtId="11" fontId="0" fillId="60" borderId="11" xfId="0" applyNumberFormat="1" applyFill="1" applyBorder="1"/>
    <xf numFmtId="0" fontId="2" fillId="60" borderId="0" xfId="0" applyFont="1" applyFill="1"/>
    <xf numFmtId="0" fontId="0" fillId="60" borderId="2" xfId="0" applyFill="1" applyBorder="1"/>
    <xf numFmtId="11" fontId="2" fillId="4" borderId="3" xfId="0" applyNumberFormat="1" applyFont="1" applyFill="1" applyBorder="1"/>
    <xf numFmtId="0" fontId="2" fillId="4" borderId="0" xfId="0" applyFont="1" applyFill="1"/>
    <xf numFmtId="11" fontId="2" fillId="4" borderId="7" xfId="0" applyNumberFormat="1" applyFont="1" applyFill="1" applyBorder="1"/>
    <xf numFmtId="0" fontId="2" fillId="4" borderId="2" xfId="0" applyFont="1" applyFill="1" applyBorder="1"/>
    <xf numFmtId="0" fontId="0" fillId="4" borderId="8" xfId="0" applyFill="1" applyBorder="1"/>
    <xf numFmtId="0" fontId="0" fillId="61" borderId="1" xfId="0" applyFill="1" applyBorder="1"/>
    <xf numFmtId="0" fontId="0" fillId="61" borderId="0" xfId="0" applyFill="1"/>
    <xf numFmtId="0" fontId="2" fillId="61" borderId="0" xfId="0" applyFont="1" applyFill="1"/>
    <xf numFmtId="0" fontId="0" fillId="61" borderId="2" xfId="0" applyFill="1" applyBorder="1"/>
    <xf numFmtId="11" fontId="2" fillId="61" borderId="2" xfId="0" applyNumberFormat="1" applyFont="1" applyFill="1" applyBorder="1"/>
    <xf numFmtId="0" fontId="2" fillId="61" borderId="2" xfId="0" applyFont="1" applyFill="1" applyBorder="1"/>
    <xf numFmtId="11" fontId="2" fillId="61" borderId="0" xfId="0" applyNumberFormat="1" applyFont="1" applyFill="1"/>
    <xf numFmtId="0" fontId="0" fillId="62" borderId="10" xfId="0" applyFill="1" applyBorder="1"/>
    <xf numFmtId="0" fontId="0" fillId="62" borderId="4" xfId="0" applyFill="1" applyBorder="1"/>
    <xf numFmtId="0" fontId="0" fillId="62" borderId="1" xfId="0" applyFill="1" applyBorder="1"/>
    <xf numFmtId="0" fontId="0" fillId="62" borderId="9" xfId="0" applyFill="1" applyBorder="1"/>
    <xf numFmtId="0" fontId="0" fillId="62" borderId="5" xfId="0" applyFill="1" applyBorder="1"/>
    <xf numFmtId="0" fontId="0" fillId="62" borderId="3" xfId="0" applyFill="1" applyBorder="1"/>
    <xf numFmtId="0" fontId="0" fillId="62" borderId="0" xfId="0" applyFill="1"/>
    <xf numFmtId="0" fontId="0" fillId="62" borderId="6" xfId="0" applyFill="1" applyBorder="1"/>
    <xf numFmtId="11" fontId="2" fillId="62" borderId="0" xfId="0" applyNumberFormat="1" applyFont="1" applyFill="1"/>
    <xf numFmtId="0" fontId="2" fillId="62" borderId="0" xfId="0" applyFont="1" applyFill="1"/>
    <xf numFmtId="0" fontId="2" fillId="62" borderId="6" xfId="0" applyFont="1" applyFill="1" applyBorder="1"/>
    <xf numFmtId="0" fontId="0" fillId="62" borderId="7" xfId="0" applyFill="1" applyBorder="1"/>
    <xf numFmtId="11" fontId="2" fillId="62" borderId="2" xfId="0" applyNumberFormat="1" applyFont="1" applyFill="1" applyBorder="1"/>
    <xf numFmtId="0" fontId="0" fillId="62" borderId="2" xfId="0" applyFill="1" applyBorder="1"/>
    <xf numFmtId="0" fontId="0" fillId="62" borderId="11" xfId="0" applyFill="1" applyBorder="1"/>
    <xf numFmtId="0" fontId="2" fillId="62" borderId="2" xfId="0" applyFont="1" applyFill="1" applyBorder="1"/>
    <xf numFmtId="0" fontId="0" fillId="62" borderId="8" xfId="0" applyFill="1" applyBorder="1"/>
    <xf numFmtId="0" fontId="0" fillId="63" borderId="10" xfId="0" applyFill="1" applyBorder="1"/>
    <xf numFmtId="0" fontId="0" fillId="63" borderId="4" xfId="0" applyFill="1" applyBorder="1"/>
    <xf numFmtId="0" fontId="0" fillId="63" borderId="1" xfId="0" applyFill="1" applyBorder="1"/>
    <xf numFmtId="0" fontId="0" fillId="63" borderId="9" xfId="0" applyFill="1" applyBorder="1"/>
    <xf numFmtId="0" fontId="0" fillId="63" borderId="5" xfId="0" applyFill="1" applyBorder="1"/>
    <xf numFmtId="0" fontId="0" fillId="63" borderId="3" xfId="0" applyFill="1" applyBorder="1"/>
    <xf numFmtId="0" fontId="0" fillId="63" borderId="0" xfId="0" applyFill="1"/>
    <xf numFmtId="0" fontId="0" fillId="63" borderId="6" xfId="0" applyFill="1" applyBorder="1"/>
    <xf numFmtId="11" fontId="2" fillId="63" borderId="0" xfId="0" applyNumberFormat="1" applyFont="1" applyFill="1"/>
    <xf numFmtId="0" fontId="2" fillId="63" borderId="0" xfId="0" applyFont="1" applyFill="1"/>
    <xf numFmtId="0" fontId="2" fillId="63" borderId="6" xfId="0" applyFont="1" applyFill="1" applyBorder="1"/>
    <xf numFmtId="0" fontId="0" fillId="63" borderId="7" xfId="0" applyFill="1" applyBorder="1"/>
    <xf numFmtId="11" fontId="2" fillId="63" borderId="2" xfId="0" applyNumberFormat="1" applyFont="1" applyFill="1" applyBorder="1"/>
    <xf numFmtId="0" fontId="0" fillId="63" borderId="2" xfId="0" applyFill="1" applyBorder="1"/>
    <xf numFmtId="0" fontId="0" fillId="63" borderId="11" xfId="0" applyFill="1" applyBorder="1"/>
    <xf numFmtId="0" fontId="2" fillId="63" borderId="2" xfId="0" applyFont="1" applyFill="1" applyBorder="1"/>
    <xf numFmtId="0" fontId="0" fillId="63" borderId="8" xfId="0" applyFill="1" applyBorder="1"/>
    <xf numFmtId="0" fontId="0" fillId="64" borderId="4" xfId="0" applyFill="1" applyBorder="1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65" borderId="4" xfId="0" applyFill="1" applyBorder="1"/>
    <xf numFmtId="0" fontId="0" fillId="65" borderId="1" xfId="0" applyFill="1" applyBorder="1"/>
    <xf numFmtId="0" fontId="0" fillId="65" borderId="5" xfId="0" applyFill="1" applyBorder="1"/>
    <xf numFmtId="0" fontId="0" fillId="65" borderId="7" xfId="0" applyFill="1" applyBorder="1"/>
    <xf numFmtId="11" fontId="0" fillId="65" borderId="2" xfId="0" applyNumberFormat="1" applyFill="1" applyBorder="1"/>
    <xf numFmtId="0" fontId="0" fillId="65" borderId="8" xfId="0" applyFill="1" applyBorder="1"/>
    <xf numFmtId="0" fontId="0" fillId="66" borderId="4" xfId="0" applyFill="1" applyBorder="1"/>
    <xf numFmtId="0" fontId="0" fillId="66" borderId="1" xfId="0" applyFill="1" applyBorder="1"/>
    <xf numFmtId="0" fontId="0" fillId="66" borderId="5" xfId="0" applyFill="1" applyBorder="1"/>
    <xf numFmtId="0" fontId="0" fillId="66" borderId="7" xfId="0" applyFill="1" applyBorder="1"/>
    <xf numFmtId="11" fontId="0" fillId="66" borderId="2" xfId="0" applyNumberFormat="1" applyFill="1" applyBorder="1"/>
    <xf numFmtId="0" fontId="0" fillId="66" borderId="8" xfId="0" applyFill="1" applyBorder="1"/>
    <xf numFmtId="0" fontId="0" fillId="64" borderId="1" xfId="0" applyFill="1" applyBorder="1"/>
    <xf numFmtId="0" fontId="0" fillId="64" borderId="5" xfId="0" applyFill="1" applyBorder="1"/>
    <xf numFmtId="0" fontId="0" fillId="64" borderId="7" xfId="0" applyFill="1" applyBorder="1"/>
    <xf numFmtId="0" fontId="0" fillId="64" borderId="8" xfId="0" applyFill="1" applyBorder="1"/>
    <xf numFmtId="0" fontId="4" fillId="0" borderId="4" xfId="185" applyBorder="1"/>
    <xf numFmtId="0" fontId="0" fillId="0" borderId="6" xfId="0" applyBorder="1"/>
    <xf numFmtId="0" fontId="0" fillId="0" borderId="3" xfId="0" applyBorder="1"/>
    <xf numFmtId="168" fontId="0" fillId="0" borderId="0" xfId="0" applyNumberFormat="1"/>
    <xf numFmtId="0" fontId="4" fillId="67" borderId="4" xfId="185" applyFill="1" applyBorder="1"/>
    <xf numFmtId="0" fontId="4" fillId="0" borderId="3" xfId="185" applyBorder="1"/>
    <xf numFmtId="11" fontId="0" fillId="64" borderId="2" xfId="0" applyNumberFormat="1" applyFill="1" applyBorder="1"/>
    <xf numFmtId="0" fontId="4" fillId="67" borderId="3" xfId="185" applyFill="1" applyBorder="1"/>
    <xf numFmtId="0" fontId="5" fillId="0" borderId="0" xfId="186" applyAlignment="1">
      <alignment horizontal="center"/>
    </xf>
    <xf numFmtId="0" fontId="0" fillId="0" borderId="3" xfId="186" applyFont="1" applyBorder="1"/>
    <xf numFmtId="0" fontId="5" fillId="0" borderId="0" xfId="186"/>
    <xf numFmtId="0" fontId="0" fillId="67" borderId="3" xfId="0" applyFill="1" applyBorder="1"/>
    <xf numFmtId="0" fontId="0" fillId="68" borderId="9" xfId="0" applyFill="1" applyBorder="1"/>
    <xf numFmtId="0" fontId="0" fillId="68" borderId="1" xfId="0" applyFill="1" applyBorder="1"/>
    <xf numFmtId="0" fontId="0" fillId="68" borderId="5" xfId="0" applyFill="1" applyBorder="1"/>
    <xf numFmtId="0" fontId="0" fillId="68" borderId="10" xfId="0" applyFill="1" applyBorder="1"/>
    <xf numFmtId="0" fontId="0" fillId="68" borderId="0" xfId="0" applyFill="1"/>
    <xf numFmtId="0" fontId="0" fillId="68" borderId="6" xfId="0" applyFill="1" applyBorder="1"/>
    <xf numFmtId="11" fontId="2" fillId="68" borderId="0" xfId="0" applyNumberFormat="1" applyFont="1" applyFill="1"/>
    <xf numFmtId="0" fontId="2" fillId="68" borderId="6" xfId="0" applyFont="1" applyFill="1" applyBorder="1"/>
    <xf numFmtId="0" fontId="0" fillId="68" borderId="11" xfId="0" applyFill="1" applyBorder="1"/>
    <xf numFmtId="11" fontId="2" fillId="68" borderId="2" xfId="0" applyNumberFormat="1" applyFont="1" applyFill="1" applyBorder="1"/>
    <xf numFmtId="0" fontId="2" fillId="68" borderId="8" xfId="0" applyFont="1" applyFill="1" applyBorder="1"/>
    <xf numFmtId="0" fontId="0" fillId="46" borderId="2" xfId="0" applyFill="1" applyBorder="1"/>
    <xf numFmtId="0" fontId="0" fillId="46" borderId="15" xfId="0" applyFill="1" applyBorder="1"/>
    <xf numFmtId="0" fontId="0" fillId="46" borderId="16" xfId="0" applyFill="1" applyBorder="1"/>
    <xf numFmtId="0" fontId="0" fillId="46" borderId="17" xfId="0" applyFill="1" applyBorder="1"/>
    <xf numFmtId="0" fontId="0" fillId="46" borderId="18" xfId="0" applyFill="1" applyBorder="1"/>
    <xf numFmtId="0" fontId="2" fillId="46" borderId="19" xfId="0" applyFont="1" applyFill="1" applyBorder="1"/>
    <xf numFmtId="0" fontId="0" fillId="46" borderId="20" xfId="0" applyFill="1" applyBorder="1"/>
    <xf numFmtId="11" fontId="2" fillId="46" borderId="21" xfId="0" applyNumberFormat="1" applyFont="1" applyFill="1" applyBorder="1"/>
    <xf numFmtId="0" fontId="2" fillId="46" borderId="22" xfId="0" applyFont="1" applyFill="1" applyBorder="1"/>
    <xf numFmtId="43" fontId="1" fillId="36" borderId="0" xfId="184" applyFill="1"/>
    <xf numFmtId="0" fontId="0" fillId="46" borderId="4" xfId="0" applyFill="1" applyBorder="1"/>
    <xf numFmtId="0" fontId="0" fillId="46" borderId="3" xfId="0" applyFill="1" applyBorder="1"/>
    <xf numFmtId="0" fontId="0" fillId="46" borderId="7" xfId="0" applyFill="1" applyBorder="1"/>
    <xf numFmtId="11" fontId="0" fillId="38" borderId="0" xfId="0" applyNumberFormat="1" applyFill="1"/>
    <xf numFmtId="0" fontId="0" fillId="0" borderId="0" xfId="0" applyAlignment="1">
      <alignment wrapText="1"/>
    </xf>
    <xf numFmtId="11" fontId="2" fillId="70" borderId="0" xfId="0" applyNumberFormat="1" applyFont="1" applyFill="1"/>
    <xf numFmtId="11" fontId="2" fillId="70" borderId="2" xfId="0" applyNumberFormat="1" applyFont="1" applyFill="1" applyBorder="1"/>
    <xf numFmtId="11" fontId="28" fillId="71" borderId="0" xfId="0" applyNumberFormat="1" applyFont="1" applyFill="1"/>
    <xf numFmtId="0" fontId="28" fillId="71" borderId="0" xfId="0" applyFont="1" applyFill="1"/>
    <xf numFmtId="11" fontId="30" fillId="71" borderId="0" xfId="0" applyNumberFormat="1" applyFont="1" applyFill="1"/>
    <xf numFmtId="0" fontId="28" fillId="0" borderId="0" xfId="0" applyFont="1"/>
    <xf numFmtId="1" fontId="28" fillId="0" borderId="0" xfId="0" applyNumberFormat="1" applyFont="1"/>
    <xf numFmtId="11" fontId="0" fillId="72" borderId="1" xfId="0" applyNumberFormat="1" applyFill="1" applyBorder="1"/>
    <xf numFmtId="0" fontId="0" fillId="72" borderId="5" xfId="0" applyFill="1" applyBorder="1"/>
    <xf numFmtId="11" fontId="0" fillId="72" borderId="0" xfId="0" applyNumberFormat="1" applyFill="1"/>
    <xf numFmtId="0" fontId="0" fillId="72" borderId="6" xfId="0" applyFill="1" applyBorder="1"/>
    <xf numFmtId="0" fontId="0" fillId="51" borderId="2" xfId="0" applyFill="1" applyBorder="1"/>
    <xf numFmtId="0" fontId="0" fillId="72" borderId="4" xfId="0" applyFill="1" applyBorder="1"/>
    <xf numFmtId="0" fontId="0" fillId="72" borderId="7" xfId="0" applyFill="1" applyBorder="1"/>
    <xf numFmtId="11" fontId="0" fillId="72" borderId="2" xfId="0" applyNumberFormat="1" applyFill="1" applyBorder="1"/>
    <xf numFmtId="0" fontId="0" fillId="72" borderId="8" xfId="0" applyFill="1" applyBorder="1"/>
    <xf numFmtId="0" fontId="0" fillId="72" borderId="3" xfId="0" applyFill="1" applyBorder="1"/>
    <xf numFmtId="0" fontId="0" fillId="50" borderId="2" xfId="0" applyFill="1" applyBorder="1"/>
    <xf numFmtId="0" fontId="0" fillId="36" borderId="0" xfId="0" applyFill="1"/>
    <xf numFmtId="0" fontId="1" fillId="36" borderId="0" xfId="184" applyNumberFormat="1" applyFill="1"/>
    <xf numFmtId="0" fontId="1" fillId="2" borderId="0" xfId="184" applyNumberFormat="1" applyFill="1"/>
    <xf numFmtId="0" fontId="0" fillId="36" borderId="0" xfId="0" applyFill="1" applyAlignment="1">
      <alignment horizontal="center" wrapText="1"/>
    </xf>
    <xf numFmtId="0" fontId="29" fillId="71" borderId="4" xfId="0" applyFont="1" applyFill="1" applyBorder="1" applyAlignment="1">
      <alignment horizontal="left" wrapText="1"/>
    </xf>
    <xf numFmtId="0" fontId="29" fillId="71" borderId="1" xfId="0" applyFont="1" applyFill="1" applyBorder="1" applyAlignment="1">
      <alignment horizontal="left" wrapText="1"/>
    </xf>
    <xf numFmtId="0" fontId="29" fillId="71" borderId="5" xfId="0" applyFont="1" applyFill="1" applyBorder="1" applyAlignment="1">
      <alignment horizontal="left" wrapText="1"/>
    </xf>
    <xf numFmtId="0" fontId="29" fillId="71" borderId="3" xfId="0" applyFont="1" applyFill="1" applyBorder="1" applyAlignment="1">
      <alignment horizontal="left" wrapText="1"/>
    </xf>
    <xf numFmtId="0" fontId="29" fillId="71" borderId="0" xfId="0" applyFont="1" applyFill="1" applyAlignment="1">
      <alignment horizontal="left" wrapText="1"/>
    </xf>
    <xf numFmtId="0" fontId="29" fillId="71" borderId="6" xfId="0" applyFont="1" applyFill="1" applyBorder="1" applyAlignment="1">
      <alignment horizontal="left" wrapText="1"/>
    </xf>
    <xf numFmtId="0" fontId="29" fillId="71" borderId="7" xfId="0" applyFont="1" applyFill="1" applyBorder="1" applyAlignment="1">
      <alignment horizontal="left" wrapText="1"/>
    </xf>
    <xf numFmtId="0" fontId="29" fillId="71" borderId="2" xfId="0" applyFont="1" applyFill="1" applyBorder="1" applyAlignment="1">
      <alignment horizontal="left" wrapText="1"/>
    </xf>
    <xf numFmtId="0" fontId="29" fillId="71" borderId="8" xfId="0" applyFont="1" applyFill="1" applyBorder="1" applyAlignment="1">
      <alignment horizontal="left" wrapText="1"/>
    </xf>
    <xf numFmtId="0" fontId="2" fillId="72" borderId="32" xfId="0" applyFont="1" applyFill="1" applyBorder="1" applyAlignment="1">
      <alignment horizontal="center"/>
    </xf>
    <xf numFmtId="0" fontId="2" fillId="72" borderId="33" xfId="0" applyFont="1" applyFill="1" applyBorder="1" applyAlignment="1">
      <alignment horizontal="center"/>
    </xf>
    <xf numFmtId="0" fontId="2" fillId="72" borderId="34" xfId="0" applyFont="1" applyFill="1" applyBorder="1" applyAlignment="1">
      <alignment horizontal="center"/>
    </xf>
    <xf numFmtId="0" fontId="29" fillId="71" borderId="4" xfId="0" applyFont="1" applyFill="1" applyBorder="1" applyAlignment="1">
      <alignment horizontal="center" vertical="center" wrapText="1"/>
    </xf>
    <xf numFmtId="0" fontId="29" fillId="71" borderId="1" xfId="0" applyFont="1" applyFill="1" applyBorder="1" applyAlignment="1">
      <alignment horizontal="center" vertical="center" wrapText="1"/>
    </xf>
    <xf numFmtId="0" fontId="29" fillId="71" borderId="5" xfId="0" applyFont="1" applyFill="1" applyBorder="1" applyAlignment="1">
      <alignment horizontal="center" vertical="center" wrapText="1"/>
    </xf>
    <xf numFmtId="0" fontId="29" fillId="71" borderId="3" xfId="0" applyFont="1" applyFill="1" applyBorder="1" applyAlignment="1">
      <alignment horizontal="center" vertical="center" wrapText="1"/>
    </xf>
    <xf numFmtId="0" fontId="29" fillId="71" borderId="0" xfId="0" applyFont="1" applyFill="1" applyAlignment="1">
      <alignment horizontal="center" vertical="center" wrapText="1"/>
    </xf>
    <xf numFmtId="0" fontId="29" fillId="71" borderId="6" xfId="0" applyFont="1" applyFill="1" applyBorder="1" applyAlignment="1">
      <alignment horizontal="center" vertical="center" wrapText="1"/>
    </xf>
    <xf numFmtId="0" fontId="29" fillId="71" borderId="7" xfId="0" applyFont="1" applyFill="1" applyBorder="1" applyAlignment="1">
      <alignment horizontal="center" vertical="center" wrapText="1"/>
    </xf>
    <xf numFmtId="0" fontId="29" fillId="71" borderId="2" xfId="0" applyFont="1" applyFill="1" applyBorder="1" applyAlignment="1">
      <alignment horizontal="center" vertical="center" wrapText="1"/>
    </xf>
    <xf numFmtId="0" fontId="29" fillId="71" borderId="8" xfId="0" applyFont="1" applyFill="1" applyBorder="1" applyAlignment="1">
      <alignment horizontal="center" vertical="center" wrapText="1"/>
    </xf>
    <xf numFmtId="0" fontId="0" fillId="67" borderId="0" xfId="0" applyFill="1" applyAlignment="1">
      <alignment horizontal="center"/>
    </xf>
    <xf numFmtId="0" fontId="0" fillId="69" borderId="0" xfId="0" applyFill="1" applyAlignment="1">
      <alignment wrapText="1"/>
    </xf>
    <xf numFmtId="0" fontId="0" fillId="0" borderId="0" xfId="0" applyNumberFormat="1"/>
  </cellXfs>
  <cellStyles count="215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2 2" xfId="4" xr:uid="{00000000-0005-0000-0000-000003000000}"/>
    <cellStyle name="20% - Accent1 2 3" xfId="5" xr:uid="{00000000-0005-0000-0000-000004000000}"/>
    <cellStyle name="20% - Accent1 2 3 2" xfId="6" xr:uid="{00000000-0005-0000-0000-000005000000}"/>
    <cellStyle name="20% - Accent1 2 4" xfId="7" xr:uid="{00000000-0005-0000-0000-000006000000}"/>
    <cellStyle name="20% - Accent1 2 5" xfId="8" xr:uid="{00000000-0005-0000-0000-000007000000}"/>
    <cellStyle name="20% - Accent1 3" xfId="9" xr:uid="{00000000-0005-0000-0000-000008000000}"/>
    <cellStyle name="20% - Accent1 3 2" xfId="10" xr:uid="{00000000-0005-0000-0000-000009000000}"/>
    <cellStyle name="20% - Accent1 4" xfId="11" xr:uid="{00000000-0005-0000-0000-00000A000000}"/>
    <cellStyle name="20% - Accent1 4 2" xfId="12" xr:uid="{00000000-0005-0000-0000-00000B000000}"/>
    <cellStyle name="20% - Accent1 5" xfId="13" xr:uid="{00000000-0005-0000-0000-00000C000000}"/>
    <cellStyle name="20% - Accent1 6" xfId="14" xr:uid="{00000000-0005-0000-0000-00000D000000}"/>
    <cellStyle name="20% - Accent2" xfId="15" builtinId="34" customBuiltin="1"/>
    <cellStyle name="20% - Accent2 2" xfId="16" xr:uid="{00000000-0005-0000-0000-00000F000000}"/>
    <cellStyle name="20% - Accent2 2 2" xfId="17" xr:uid="{00000000-0005-0000-0000-000010000000}"/>
    <cellStyle name="20% - Accent2 2 2 2" xfId="18" xr:uid="{00000000-0005-0000-0000-000011000000}"/>
    <cellStyle name="20% - Accent2 2 3" xfId="19" xr:uid="{00000000-0005-0000-0000-000012000000}"/>
    <cellStyle name="20% - Accent2 2 3 2" xfId="20" xr:uid="{00000000-0005-0000-0000-000013000000}"/>
    <cellStyle name="20% - Accent2 2 4" xfId="21" xr:uid="{00000000-0005-0000-0000-000014000000}"/>
    <cellStyle name="20% - Accent2 2 5" xfId="22" xr:uid="{00000000-0005-0000-0000-000015000000}"/>
    <cellStyle name="20% - Accent2 3" xfId="23" xr:uid="{00000000-0005-0000-0000-000016000000}"/>
    <cellStyle name="20% - Accent2 3 2" xfId="24" xr:uid="{00000000-0005-0000-0000-000017000000}"/>
    <cellStyle name="20% - Accent2 4" xfId="25" xr:uid="{00000000-0005-0000-0000-000018000000}"/>
    <cellStyle name="20% - Accent2 4 2" xfId="26" xr:uid="{00000000-0005-0000-0000-000019000000}"/>
    <cellStyle name="20% - Accent2 5" xfId="27" xr:uid="{00000000-0005-0000-0000-00001A000000}"/>
    <cellStyle name="20% - Accent2 6" xfId="28" xr:uid="{00000000-0005-0000-0000-00001B000000}"/>
    <cellStyle name="20% - Accent3" xfId="29" builtinId="38" customBuiltin="1"/>
    <cellStyle name="20% - Accent3 2" xfId="30" xr:uid="{00000000-0005-0000-0000-00001D000000}"/>
    <cellStyle name="20% - Accent3 2 2" xfId="31" xr:uid="{00000000-0005-0000-0000-00001E000000}"/>
    <cellStyle name="20% - Accent3 2 2 2" xfId="32" xr:uid="{00000000-0005-0000-0000-00001F000000}"/>
    <cellStyle name="20% - Accent3 2 3" xfId="33" xr:uid="{00000000-0005-0000-0000-000020000000}"/>
    <cellStyle name="20% - Accent3 2 3 2" xfId="34" xr:uid="{00000000-0005-0000-0000-000021000000}"/>
    <cellStyle name="20% - Accent3 2 4" xfId="35" xr:uid="{00000000-0005-0000-0000-000022000000}"/>
    <cellStyle name="20% - Accent3 2 5" xfId="36" xr:uid="{00000000-0005-0000-0000-000023000000}"/>
    <cellStyle name="20% - Accent3 3" xfId="37" xr:uid="{00000000-0005-0000-0000-000024000000}"/>
    <cellStyle name="20% - Accent3 3 2" xfId="38" xr:uid="{00000000-0005-0000-0000-000025000000}"/>
    <cellStyle name="20% - Accent3 4" xfId="39" xr:uid="{00000000-0005-0000-0000-000026000000}"/>
    <cellStyle name="20% - Accent3 4 2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4" xfId="43" builtinId="42" customBuiltin="1"/>
    <cellStyle name="20% - Accent4 2" xfId="44" xr:uid="{00000000-0005-0000-0000-00002B000000}"/>
    <cellStyle name="20% - Accent4 2 2" xfId="45" xr:uid="{00000000-0005-0000-0000-00002C000000}"/>
    <cellStyle name="20% - Accent4 2 2 2" xfId="46" xr:uid="{00000000-0005-0000-0000-00002D000000}"/>
    <cellStyle name="20% - Accent4 2 3" xfId="47" xr:uid="{00000000-0005-0000-0000-00002E000000}"/>
    <cellStyle name="20% - Accent4 2 3 2" xfId="48" xr:uid="{00000000-0005-0000-0000-00002F000000}"/>
    <cellStyle name="20% - Accent4 2 4" xfId="49" xr:uid="{00000000-0005-0000-0000-000030000000}"/>
    <cellStyle name="20% - Accent4 2 5" xfId="50" xr:uid="{00000000-0005-0000-0000-000031000000}"/>
    <cellStyle name="20% - Accent4 3" xfId="51" xr:uid="{00000000-0005-0000-0000-000032000000}"/>
    <cellStyle name="20% - Accent4 3 2" xfId="52" xr:uid="{00000000-0005-0000-0000-000033000000}"/>
    <cellStyle name="20% - Accent4 4" xfId="53" xr:uid="{00000000-0005-0000-0000-000034000000}"/>
    <cellStyle name="20% - Accent4 4 2" xfId="54" xr:uid="{00000000-0005-0000-0000-000035000000}"/>
    <cellStyle name="20% - Accent4 5" xfId="55" xr:uid="{00000000-0005-0000-0000-000036000000}"/>
    <cellStyle name="20% - Accent4 6" xfId="56" xr:uid="{00000000-0005-0000-0000-000037000000}"/>
    <cellStyle name="20% - Accent5" xfId="57" builtinId="46" customBuiltin="1"/>
    <cellStyle name="20% - Accent5 2" xfId="58" xr:uid="{00000000-0005-0000-0000-000039000000}"/>
    <cellStyle name="20% - Accent5 2 2" xfId="59" xr:uid="{00000000-0005-0000-0000-00003A000000}"/>
    <cellStyle name="20% - Accent5 2 2 2" xfId="60" xr:uid="{00000000-0005-0000-0000-00003B000000}"/>
    <cellStyle name="20% - Accent5 2 3" xfId="61" xr:uid="{00000000-0005-0000-0000-00003C000000}"/>
    <cellStyle name="20% - Accent5 2 3 2" xfId="62" xr:uid="{00000000-0005-0000-0000-00003D000000}"/>
    <cellStyle name="20% - Accent5 2 4" xfId="63" xr:uid="{00000000-0005-0000-0000-00003E000000}"/>
    <cellStyle name="20% - Accent5 2 5" xfId="64" xr:uid="{00000000-0005-0000-0000-00003F000000}"/>
    <cellStyle name="20% - Accent5 3" xfId="65" xr:uid="{00000000-0005-0000-0000-000040000000}"/>
    <cellStyle name="20% - Accent5 3 2" xfId="66" xr:uid="{00000000-0005-0000-0000-000041000000}"/>
    <cellStyle name="20% - Accent5 4" xfId="67" xr:uid="{00000000-0005-0000-0000-000042000000}"/>
    <cellStyle name="20% - Accent5 4 2" xfId="68" xr:uid="{00000000-0005-0000-0000-000043000000}"/>
    <cellStyle name="20% - Accent5 5" xfId="69" xr:uid="{00000000-0005-0000-0000-000044000000}"/>
    <cellStyle name="20% - Accent5 6" xfId="70" xr:uid="{00000000-0005-0000-0000-000045000000}"/>
    <cellStyle name="20% - Accent6" xfId="71" builtinId="50" customBuiltin="1"/>
    <cellStyle name="20% - Accent6 2" xfId="72" xr:uid="{00000000-0005-0000-0000-000047000000}"/>
    <cellStyle name="20% - Accent6 2 2" xfId="73" xr:uid="{00000000-0005-0000-0000-000048000000}"/>
    <cellStyle name="20% - Accent6 2 2 2" xfId="74" xr:uid="{00000000-0005-0000-0000-000049000000}"/>
    <cellStyle name="20% - Accent6 2 3" xfId="75" xr:uid="{00000000-0005-0000-0000-00004A000000}"/>
    <cellStyle name="20% - Accent6 2 3 2" xfId="76" xr:uid="{00000000-0005-0000-0000-00004B000000}"/>
    <cellStyle name="20% - Accent6 2 4" xfId="77" xr:uid="{00000000-0005-0000-0000-00004C000000}"/>
    <cellStyle name="20% - Accent6 2 5" xfId="78" xr:uid="{00000000-0005-0000-0000-00004D000000}"/>
    <cellStyle name="20% - Accent6 3" xfId="79" xr:uid="{00000000-0005-0000-0000-00004E000000}"/>
    <cellStyle name="20% - Accent6 3 2" xfId="80" xr:uid="{00000000-0005-0000-0000-00004F000000}"/>
    <cellStyle name="20% - Accent6 4" xfId="81" xr:uid="{00000000-0005-0000-0000-000050000000}"/>
    <cellStyle name="20% - Accent6 4 2" xfId="82" xr:uid="{00000000-0005-0000-0000-000051000000}"/>
    <cellStyle name="20% - Accent6 5" xfId="83" xr:uid="{00000000-0005-0000-0000-000052000000}"/>
    <cellStyle name="20% - Accent6 6" xfId="84" xr:uid="{00000000-0005-0000-0000-000053000000}"/>
    <cellStyle name="40% - Accent1" xfId="85" builtinId="31" customBuiltin="1"/>
    <cellStyle name="40% - Accent1 2" xfId="86" xr:uid="{00000000-0005-0000-0000-000055000000}"/>
    <cellStyle name="40% - Accent1 2 2" xfId="87" xr:uid="{00000000-0005-0000-0000-000056000000}"/>
    <cellStyle name="40% - Accent1 2 2 2" xfId="88" xr:uid="{00000000-0005-0000-0000-000057000000}"/>
    <cellStyle name="40% - Accent1 2 3" xfId="89" xr:uid="{00000000-0005-0000-0000-000058000000}"/>
    <cellStyle name="40% - Accent1 2 3 2" xfId="90" xr:uid="{00000000-0005-0000-0000-000059000000}"/>
    <cellStyle name="40% - Accent1 2 4" xfId="91" xr:uid="{00000000-0005-0000-0000-00005A000000}"/>
    <cellStyle name="40% - Accent1 2 5" xfId="92" xr:uid="{00000000-0005-0000-0000-00005B000000}"/>
    <cellStyle name="40% - Accent1 3" xfId="93" xr:uid="{00000000-0005-0000-0000-00005C000000}"/>
    <cellStyle name="40% - Accent1 3 2" xfId="94" xr:uid="{00000000-0005-0000-0000-00005D000000}"/>
    <cellStyle name="40% - Accent1 4" xfId="95" xr:uid="{00000000-0005-0000-0000-00005E000000}"/>
    <cellStyle name="40% - Accent1 4 2" xfId="96" xr:uid="{00000000-0005-0000-0000-00005F000000}"/>
    <cellStyle name="40% - Accent1 5" xfId="97" xr:uid="{00000000-0005-0000-0000-000060000000}"/>
    <cellStyle name="40% - Accent1 6" xfId="98" xr:uid="{00000000-0005-0000-0000-000061000000}"/>
    <cellStyle name="40% - Accent2" xfId="99" builtinId="35" customBuiltin="1"/>
    <cellStyle name="40% - Accent2 2" xfId="100" xr:uid="{00000000-0005-0000-0000-000063000000}"/>
    <cellStyle name="40% - Accent2 2 2" xfId="101" xr:uid="{00000000-0005-0000-0000-000064000000}"/>
    <cellStyle name="40% - Accent2 2 2 2" xfId="102" xr:uid="{00000000-0005-0000-0000-000065000000}"/>
    <cellStyle name="40% - Accent2 2 3" xfId="103" xr:uid="{00000000-0005-0000-0000-000066000000}"/>
    <cellStyle name="40% - Accent2 2 3 2" xfId="104" xr:uid="{00000000-0005-0000-0000-000067000000}"/>
    <cellStyle name="40% - Accent2 2 4" xfId="105" xr:uid="{00000000-0005-0000-0000-000068000000}"/>
    <cellStyle name="40% - Accent2 2 5" xfId="106" xr:uid="{00000000-0005-0000-0000-000069000000}"/>
    <cellStyle name="40% - Accent2 3" xfId="107" xr:uid="{00000000-0005-0000-0000-00006A000000}"/>
    <cellStyle name="40% - Accent2 3 2" xfId="108" xr:uid="{00000000-0005-0000-0000-00006B000000}"/>
    <cellStyle name="40% - Accent2 4" xfId="109" xr:uid="{00000000-0005-0000-0000-00006C000000}"/>
    <cellStyle name="40% - Accent2 4 2" xfId="110" xr:uid="{00000000-0005-0000-0000-00006D000000}"/>
    <cellStyle name="40% - Accent2 5" xfId="111" xr:uid="{00000000-0005-0000-0000-00006E000000}"/>
    <cellStyle name="40% - Accent2 6" xfId="112" xr:uid="{00000000-0005-0000-0000-00006F000000}"/>
    <cellStyle name="40% - Accent3" xfId="113" builtinId="39" customBuiltin="1"/>
    <cellStyle name="40% - Accent3 2" xfId="114" xr:uid="{00000000-0005-0000-0000-000071000000}"/>
    <cellStyle name="40% - Accent3 2 2" xfId="115" xr:uid="{00000000-0005-0000-0000-000072000000}"/>
    <cellStyle name="40% - Accent3 2 2 2" xfId="116" xr:uid="{00000000-0005-0000-0000-000073000000}"/>
    <cellStyle name="40% - Accent3 2 3" xfId="117" xr:uid="{00000000-0005-0000-0000-000074000000}"/>
    <cellStyle name="40% - Accent3 2 3 2" xfId="118" xr:uid="{00000000-0005-0000-0000-000075000000}"/>
    <cellStyle name="40% - Accent3 2 4" xfId="119" xr:uid="{00000000-0005-0000-0000-000076000000}"/>
    <cellStyle name="40% - Accent3 2 5" xfId="120" xr:uid="{00000000-0005-0000-0000-000077000000}"/>
    <cellStyle name="40% - Accent3 3" xfId="121" xr:uid="{00000000-0005-0000-0000-000078000000}"/>
    <cellStyle name="40% - Accent3 3 2" xfId="122" xr:uid="{00000000-0005-0000-0000-000079000000}"/>
    <cellStyle name="40% - Accent3 4" xfId="123" xr:uid="{00000000-0005-0000-0000-00007A000000}"/>
    <cellStyle name="40% - Accent3 4 2" xfId="124" xr:uid="{00000000-0005-0000-0000-00007B000000}"/>
    <cellStyle name="40% - Accent3 5" xfId="125" xr:uid="{00000000-0005-0000-0000-00007C000000}"/>
    <cellStyle name="40% - Accent3 6" xfId="126" xr:uid="{00000000-0005-0000-0000-00007D000000}"/>
    <cellStyle name="40% - Accent4" xfId="127" builtinId="43" customBuiltin="1"/>
    <cellStyle name="40% - Accent4 2" xfId="128" xr:uid="{00000000-0005-0000-0000-00007F000000}"/>
    <cellStyle name="40% - Accent4 2 2" xfId="129" xr:uid="{00000000-0005-0000-0000-000080000000}"/>
    <cellStyle name="40% - Accent4 2 2 2" xfId="130" xr:uid="{00000000-0005-0000-0000-000081000000}"/>
    <cellStyle name="40% - Accent4 2 3" xfId="131" xr:uid="{00000000-0005-0000-0000-000082000000}"/>
    <cellStyle name="40% - Accent4 2 3 2" xfId="132" xr:uid="{00000000-0005-0000-0000-000083000000}"/>
    <cellStyle name="40% - Accent4 2 4" xfId="133" xr:uid="{00000000-0005-0000-0000-000084000000}"/>
    <cellStyle name="40% - Accent4 2 5" xfId="134" xr:uid="{00000000-0005-0000-0000-000085000000}"/>
    <cellStyle name="40% - Accent4 3" xfId="135" xr:uid="{00000000-0005-0000-0000-000086000000}"/>
    <cellStyle name="40% - Accent4 3 2" xfId="136" xr:uid="{00000000-0005-0000-0000-000087000000}"/>
    <cellStyle name="40% - Accent4 4" xfId="137" xr:uid="{00000000-0005-0000-0000-000088000000}"/>
    <cellStyle name="40% - Accent4 4 2" xfId="138" xr:uid="{00000000-0005-0000-0000-000089000000}"/>
    <cellStyle name="40% - Accent4 5" xfId="139" xr:uid="{00000000-0005-0000-0000-00008A000000}"/>
    <cellStyle name="40% - Accent4 6" xfId="140" xr:uid="{00000000-0005-0000-0000-00008B000000}"/>
    <cellStyle name="40% - Accent5" xfId="141" builtinId="47" customBuiltin="1"/>
    <cellStyle name="40% - Accent5 2" xfId="142" xr:uid="{00000000-0005-0000-0000-00008D000000}"/>
    <cellStyle name="40% - Accent5 2 2" xfId="143" xr:uid="{00000000-0005-0000-0000-00008E000000}"/>
    <cellStyle name="40% - Accent5 2 2 2" xfId="144" xr:uid="{00000000-0005-0000-0000-00008F000000}"/>
    <cellStyle name="40% - Accent5 2 3" xfId="145" xr:uid="{00000000-0005-0000-0000-000090000000}"/>
    <cellStyle name="40% - Accent5 2 3 2" xfId="146" xr:uid="{00000000-0005-0000-0000-000091000000}"/>
    <cellStyle name="40% - Accent5 2 4" xfId="147" xr:uid="{00000000-0005-0000-0000-000092000000}"/>
    <cellStyle name="40% - Accent5 2 5" xfId="148" xr:uid="{00000000-0005-0000-0000-000093000000}"/>
    <cellStyle name="40% - Accent5 3" xfId="149" xr:uid="{00000000-0005-0000-0000-000094000000}"/>
    <cellStyle name="40% - Accent5 3 2" xfId="150" xr:uid="{00000000-0005-0000-0000-000095000000}"/>
    <cellStyle name="40% - Accent5 4" xfId="151" xr:uid="{00000000-0005-0000-0000-000096000000}"/>
    <cellStyle name="40% - Accent5 4 2" xfId="152" xr:uid="{00000000-0005-0000-0000-000097000000}"/>
    <cellStyle name="40% - Accent5 5" xfId="153" xr:uid="{00000000-0005-0000-0000-000098000000}"/>
    <cellStyle name="40% - Accent5 6" xfId="154" xr:uid="{00000000-0005-0000-0000-000099000000}"/>
    <cellStyle name="40% - Accent6" xfId="155" builtinId="51" customBuiltin="1"/>
    <cellStyle name="40% - Accent6 2" xfId="156" xr:uid="{00000000-0005-0000-0000-00009B000000}"/>
    <cellStyle name="40% - Accent6 2 2" xfId="157" xr:uid="{00000000-0005-0000-0000-00009C000000}"/>
    <cellStyle name="40% - Accent6 2 2 2" xfId="158" xr:uid="{00000000-0005-0000-0000-00009D000000}"/>
    <cellStyle name="40% - Accent6 2 3" xfId="159" xr:uid="{00000000-0005-0000-0000-00009E000000}"/>
    <cellStyle name="40% - Accent6 2 3 2" xfId="160" xr:uid="{00000000-0005-0000-0000-00009F000000}"/>
    <cellStyle name="40% - Accent6 2 4" xfId="161" xr:uid="{00000000-0005-0000-0000-0000A0000000}"/>
    <cellStyle name="40% - Accent6 2 5" xfId="162" xr:uid="{00000000-0005-0000-0000-0000A1000000}"/>
    <cellStyle name="40% - Accent6 3" xfId="163" xr:uid="{00000000-0005-0000-0000-0000A2000000}"/>
    <cellStyle name="40% - Accent6 3 2" xfId="164" xr:uid="{00000000-0005-0000-0000-0000A3000000}"/>
    <cellStyle name="40% - Accent6 4" xfId="165" xr:uid="{00000000-0005-0000-0000-0000A4000000}"/>
    <cellStyle name="40% - Accent6 4 2" xfId="166" xr:uid="{00000000-0005-0000-0000-0000A5000000}"/>
    <cellStyle name="40% - Accent6 5" xfId="167" xr:uid="{00000000-0005-0000-0000-0000A6000000}"/>
    <cellStyle name="40% - Accent6 6" xfId="168" xr:uid="{00000000-0005-0000-0000-0000A7000000}"/>
    <cellStyle name="60% - Accent1" xfId="169" builtinId="32" customBuiltin="1"/>
    <cellStyle name="60% - Accent2" xfId="170" builtinId="36" customBuiltin="1"/>
    <cellStyle name="60% - Accent3" xfId="171" builtinId="40" customBuiltin="1"/>
    <cellStyle name="60% - Accent4" xfId="172" builtinId="44" customBuiltin="1"/>
    <cellStyle name="60% - Accent5" xfId="173" builtinId="48" customBuiltin="1"/>
    <cellStyle name="60% - Accent6" xfId="174" builtinId="52" customBuiltin="1"/>
    <cellStyle name="Accent1" xfId="175" builtinId="29" customBuiltin="1"/>
    <cellStyle name="Accent2" xfId="176" builtinId="33" customBuiltin="1"/>
    <cellStyle name="Accent3" xfId="177" builtinId="37" customBuiltin="1"/>
    <cellStyle name="Accent4" xfId="178" builtinId="41" customBuiltin="1"/>
    <cellStyle name="Accent5" xfId="179" builtinId="45" customBuiltin="1"/>
    <cellStyle name="Accent6" xfId="180" builtinId="49" customBuiltin="1"/>
    <cellStyle name="Bad" xfId="181" builtinId="27" customBuiltin="1"/>
    <cellStyle name="Calculation" xfId="182" builtinId="22" customBuiltin="1"/>
    <cellStyle name="Check Cell" xfId="183" builtinId="23" customBuiltin="1"/>
    <cellStyle name="Comma" xfId="184" builtinId="3"/>
    <cellStyle name="Excel Built-in Normal" xfId="185" xr:uid="{00000000-0005-0000-0000-0000B8000000}"/>
    <cellStyle name="Excel Built-in Normal 2" xfId="186" xr:uid="{00000000-0005-0000-0000-0000B9000000}"/>
    <cellStyle name="Explanatory Text" xfId="187" builtinId="53" customBuiltin="1"/>
    <cellStyle name="Good" xfId="188" builtinId="26" customBuiltin="1"/>
    <cellStyle name="Heading 1" xfId="189" builtinId="16" customBuiltin="1"/>
    <cellStyle name="Heading 2" xfId="190" builtinId="17" customBuiltin="1"/>
    <cellStyle name="Heading 3" xfId="191" builtinId="18" customBuiltin="1"/>
    <cellStyle name="Heading 4" xfId="192" builtinId="19" customBuiltin="1"/>
    <cellStyle name="Input" xfId="193" builtinId="20" customBuiltin="1"/>
    <cellStyle name="Linked Cell" xfId="194" builtinId="24" customBuiltin="1"/>
    <cellStyle name="Neutral" xfId="195" builtinId="28" customBuiltin="1"/>
    <cellStyle name="Normal" xfId="0" builtinId="0"/>
    <cellStyle name="Normal 2" xfId="196" xr:uid="{00000000-0005-0000-0000-0000C4000000}"/>
    <cellStyle name="Normal 2 2" xfId="197" xr:uid="{00000000-0005-0000-0000-0000C5000000}"/>
    <cellStyle name="Normal 2 2 2" xfId="198" xr:uid="{00000000-0005-0000-0000-0000C6000000}"/>
    <cellStyle name="Normal 2 2 2 2" xfId="199" xr:uid="{00000000-0005-0000-0000-0000C7000000}"/>
    <cellStyle name="Normal 2 2 3" xfId="200" xr:uid="{00000000-0005-0000-0000-0000C8000000}"/>
    <cellStyle name="Normal 2 2 3 2" xfId="201" xr:uid="{00000000-0005-0000-0000-0000C9000000}"/>
    <cellStyle name="Normal 2 2 4" xfId="202" xr:uid="{00000000-0005-0000-0000-0000CA000000}"/>
    <cellStyle name="Normal 2 2 5" xfId="203" xr:uid="{00000000-0005-0000-0000-0000CB000000}"/>
    <cellStyle name="Normal 2 3" xfId="204" xr:uid="{00000000-0005-0000-0000-0000CC000000}"/>
    <cellStyle name="Normal 2 3 2" xfId="205" xr:uid="{00000000-0005-0000-0000-0000CD000000}"/>
    <cellStyle name="Normal 2 4" xfId="206" xr:uid="{00000000-0005-0000-0000-0000CE000000}"/>
    <cellStyle name="Normal 2 4 2" xfId="207" xr:uid="{00000000-0005-0000-0000-0000CF000000}"/>
    <cellStyle name="Normal 2 5" xfId="208" xr:uid="{00000000-0005-0000-0000-0000D0000000}"/>
    <cellStyle name="Normal 2 6" xfId="209" xr:uid="{00000000-0005-0000-0000-0000D1000000}"/>
    <cellStyle name="Note 2" xfId="210" xr:uid="{00000000-0005-0000-0000-0000D2000000}"/>
    <cellStyle name="Output" xfId="211" builtinId="21" customBuiltin="1"/>
    <cellStyle name="Title" xfId="212" builtinId="15" customBuiltin="1"/>
    <cellStyle name="Total" xfId="213" builtinId="25" customBuiltin="1"/>
    <cellStyle name="Warning Text" xfId="21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13739"/>
    </indexedColors>
    <mruColors>
      <color rgb="FF008080"/>
      <color rgb="FFA4D7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F86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12.75" x14ac:dyDescent="0.2"/>
  <cols>
    <col min="1" max="1" width="13.28515625" bestFit="1" customWidth="1"/>
    <col min="2" max="2" width="8.85546875" bestFit="1" customWidth="1"/>
    <col min="3" max="3" width="18.5703125" bestFit="1" customWidth="1"/>
    <col min="4" max="4" width="8.85546875" bestFit="1" customWidth="1"/>
    <col min="5" max="5" width="12" bestFit="1" customWidth="1"/>
    <col min="6" max="6" width="18.7109375" bestFit="1" customWidth="1"/>
    <col min="7" max="7" width="10" customWidth="1"/>
    <col min="8" max="8" width="12.28515625" bestFit="1" customWidth="1"/>
    <col min="9" max="9" width="13.28515625" customWidth="1"/>
    <col min="10" max="10" width="10" customWidth="1"/>
    <col min="11" max="11" width="8.85546875" bestFit="1" customWidth="1"/>
    <col min="12" max="12" width="16" bestFit="1" customWidth="1"/>
    <col min="13" max="13" width="10.28515625" bestFit="1" customWidth="1"/>
    <col min="14" max="14" width="11.5703125" customWidth="1"/>
    <col min="15" max="15" width="18.28515625" bestFit="1" customWidth="1"/>
    <col min="16" max="16" width="10.28515625" bestFit="1" customWidth="1"/>
    <col min="17" max="17" width="8.85546875" customWidth="1"/>
    <col min="18" max="18" width="15.7109375" bestFit="1" customWidth="1"/>
    <col min="19" max="19" width="10.28515625" bestFit="1" customWidth="1"/>
    <col min="20" max="20" width="8.85546875" customWidth="1"/>
    <col min="21" max="21" width="15.7109375" bestFit="1" customWidth="1"/>
    <col min="22" max="22" width="8.5703125" customWidth="1"/>
    <col min="23" max="23" width="8.85546875" bestFit="1" customWidth="1"/>
    <col min="24" max="24" width="16.7109375" bestFit="1" customWidth="1"/>
    <col min="25" max="25" width="8.85546875" bestFit="1" customWidth="1"/>
    <col min="26" max="26" width="10.85546875" bestFit="1" customWidth="1"/>
    <col min="27" max="27" width="16.7109375" bestFit="1" customWidth="1"/>
    <col min="28" max="28" width="8.140625" bestFit="1" customWidth="1"/>
    <col min="29" max="29" width="16.7109375" bestFit="1" customWidth="1"/>
    <col min="30" max="30" width="13.42578125" bestFit="1" customWidth="1"/>
    <col min="31" max="31" width="14.7109375" bestFit="1" customWidth="1"/>
    <col min="32" max="32" width="20.28515625" bestFit="1" customWidth="1"/>
    <col min="33" max="33" width="24" bestFit="1" customWidth="1"/>
    <col min="34" max="34" width="16" bestFit="1" customWidth="1"/>
    <col min="35" max="35" width="10.28515625" bestFit="1" customWidth="1"/>
    <col min="36" max="36" width="12" bestFit="1" customWidth="1"/>
    <col min="37" max="37" width="15.7109375" bestFit="1" customWidth="1"/>
    <col min="38" max="38" width="10.28515625" bestFit="1" customWidth="1"/>
    <col min="39" max="39" width="12" bestFit="1" customWidth="1"/>
    <col min="40" max="40" width="15.7109375" bestFit="1" customWidth="1"/>
    <col min="41" max="41" width="10.28515625" bestFit="1" customWidth="1"/>
    <col min="42" max="42" width="12" bestFit="1" customWidth="1"/>
    <col min="43" max="43" width="15.7109375" bestFit="1" customWidth="1"/>
    <col min="44" max="44" width="10.28515625" bestFit="1" customWidth="1"/>
    <col min="45" max="45" width="12" bestFit="1" customWidth="1"/>
    <col min="46" max="46" width="15.7109375" bestFit="1" customWidth="1"/>
    <col min="47" max="47" width="10.28515625" bestFit="1" customWidth="1"/>
    <col min="48" max="48" width="12" bestFit="1" customWidth="1"/>
    <col min="49" max="49" width="15.7109375" bestFit="1" customWidth="1"/>
    <col min="50" max="50" width="10.28515625" bestFit="1" customWidth="1"/>
    <col min="51" max="51" width="12" bestFit="1" customWidth="1"/>
    <col min="52" max="52" width="15.7109375" bestFit="1" customWidth="1"/>
    <col min="53" max="53" width="10.28515625" bestFit="1" customWidth="1"/>
    <col min="54" max="54" width="12" bestFit="1" customWidth="1"/>
    <col min="55" max="55" width="15.7109375" bestFit="1" customWidth="1"/>
    <col min="56" max="56" width="10.28515625" bestFit="1" customWidth="1"/>
    <col min="57" max="57" width="12" bestFit="1" customWidth="1"/>
    <col min="58" max="58" width="15.7109375" bestFit="1" customWidth="1"/>
    <col min="59" max="59" width="10.28515625" bestFit="1" customWidth="1"/>
    <col min="60" max="60" width="12" bestFit="1" customWidth="1"/>
    <col min="61" max="61" width="15.7109375" bestFit="1" customWidth="1"/>
    <col min="62" max="62" width="10.85546875" bestFit="1" customWidth="1"/>
    <col min="63" max="63" width="12" bestFit="1" customWidth="1"/>
    <col min="64" max="64" width="15.7109375" bestFit="1" customWidth="1"/>
    <col min="65" max="65" width="10.85546875" bestFit="1" customWidth="1"/>
    <col min="66" max="66" width="12" bestFit="1" customWidth="1"/>
    <col min="67" max="67" width="15.7109375" bestFit="1" customWidth="1"/>
    <col min="68" max="68" width="10.85546875" bestFit="1" customWidth="1"/>
    <col min="69" max="69" width="12" bestFit="1" customWidth="1"/>
    <col min="70" max="70" width="15.7109375" bestFit="1" customWidth="1"/>
    <col min="71" max="71" width="9.7109375" bestFit="1" customWidth="1"/>
    <col min="72" max="72" width="8.85546875" bestFit="1" customWidth="1"/>
    <col min="73" max="73" width="16.7109375" bestFit="1" customWidth="1"/>
    <col min="74" max="74" width="12" bestFit="1" customWidth="1"/>
    <col min="75" max="75" width="8.85546875" bestFit="1" customWidth="1"/>
    <col min="76" max="76" width="10.28515625" bestFit="1" customWidth="1"/>
    <col min="77" max="77" width="9.5703125" bestFit="1" customWidth="1"/>
    <col min="78" max="78" width="8.85546875" bestFit="1" customWidth="1"/>
    <col min="79" max="79" width="16" bestFit="1" customWidth="1"/>
    <col min="80" max="80" width="10.28515625" bestFit="1" customWidth="1"/>
    <col min="81" max="81" width="11.5703125" bestFit="1" customWidth="1"/>
    <col min="82" max="82" width="15.7109375" bestFit="1" customWidth="1"/>
    <col min="83" max="83" width="10.28515625" bestFit="1" customWidth="1"/>
    <col min="84" max="84" width="9" bestFit="1" customWidth="1"/>
    <col min="85" max="85" width="15.7109375" bestFit="1" customWidth="1"/>
    <col min="86" max="86" width="10.28515625" bestFit="1" customWidth="1"/>
    <col min="87" max="87" width="9" bestFit="1" customWidth="1"/>
    <col min="88" max="88" width="15.7109375" bestFit="1" customWidth="1"/>
    <col min="89" max="89" width="9" bestFit="1" customWidth="1"/>
    <col min="90" max="90" width="8.85546875" bestFit="1" customWidth="1"/>
    <col min="91" max="91" width="8.28515625" bestFit="1" customWidth="1"/>
    <col min="92" max="92" width="9.5703125" bestFit="1" customWidth="1"/>
    <col min="93" max="93" width="8.85546875" bestFit="1" customWidth="1"/>
    <col min="94" max="94" width="12" bestFit="1" customWidth="1"/>
    <col min="95" max="95" width="9.28515625" bestFit="1" customWidth="1"/>
    <col min="96" max="96" width="8.85546875" bestFit="1" customWidth="1"/>
    <col min="97" max="97" width="7.28515625" bestFit="1" customWidth="1"/>
    <col min="98" max="98" width="10" bestFit="1" customWidth="1"/>
    <col min="99" max="99" width="8.85546875" bestFit="1" customWidth="1"/>
    <col min="100" max="100" width="16" bestFit="1" customWidth="1"/>
    <col min="101" max="101" width="8.5703125" customWidth="1"/>
    <col min="102" max="102" width="8.85546875" bestFit="1" customWidth="1"/>
    <col min="103" max="103" width="16.7109375" bestFit="1" customWidth="1"/>
    <col min="104" max="104" width="10.28515625" bestFit="1" customWidth="1"/>
    <col min="105" max="106" width="8.85546875" bestFit="1" customWidth="1"/>
    <col min="107" max="107" width="9" bestFit="1" customWidth="1"/>
    <col min="108" max="108" width="8.85546875" bestFit="1" customWidth="1"/>
    <col min="109" max="109" width="9.140625" customWidth="1"/>
    <col min="110" max="110" width="9.5703125" bestFit="1" customWidth="1"/>
    <col min="111" max="111" width="12" customWidth="1"/>
    <col min="112" max="112" width="13.28515625" bestFit="1" customWidth="1"/>
    <col min="113" max="113" width="7.7109375" bestFit="1" customWidth="1"/>
    <col min="114" max="114" width="8.85546875" bestFit="1" customWidth="1"/>
    <col min="115" max="115" width="7.28515625" bestFit="1" customWidth="1"/>
    <col min="116" max="116" width="7.7109375" bestFit="1" customWidth="1"/>
    <col min="117" max="117" width="8.85546875" bestFit="1" customWidth="1"/>
    <col min="118" max="118" width="7.28515625" bestFit="1" customWidth="1"/>
    <col min="119" max="119" width="9.5703125" bestFit="1" customWidth="1"/>
    <col min="120" max="120" width="12" customWidth="1"/>
    <col min="121" max="121" width="9.42578125" customWidth="1"/>
    <col min="122" max="122" width="8.85546875" bestFit="1" customWidth="1"/>
    <col min="123" max="123" width="9" bestFit="1" customWidth="1"/>
    <col min="124" max="124" width="9.140625" customWidth="1"/>
    <col min="125" max="125" width="8.7109375" bestFit="1" customWidth="1"/>
    <col min="126" max="126" width="8.85546875" customWidth="1"/>
    <col min="127" max="127" width="7.28515625" bestFit="1" customWidth="1"/>
    <col min="128" max="128" width="6.28515625" customWidth="1"/>
    <col min="129" max="129" width="8.85546875" customWidth="1"/>
    <col min="130" max="130" width="7.28515625" bestFit="1" customWidth="1"/>
    <col min="131" max="131" width="6.28515625" customWidth="1"/>
    <col min="132" max="132" width="8.85546875" customWidth="1"/>
    <col min="133" max="133" width="7.28515625" bestFit="1" customWidth="1"/>
    <col min="134" max="135" width="9.5703125" bestFit="1" customWidth="1"/>
    <col min="136" max="136" width="7.28515625" bestFit="1" customWidth="1"/>
    <col min="137" max="137" width="8.85546875" bestFit="1" customWidth="1"/>
    <col min="138" max="138" width="12" bestFit="1" customWidth="1"/>
    <col min="139" max="139" width="9.140625" customWidth="1"/>
    <col min="140" max="140" width="8.28515625" bestFit="1" customWidth="1"/>
    <col min="141" max="141" width="8.85546875" customWidth="1"/>
    <col min="142" max="142" width="7.28515625" bestFit="1" customWidth="1"/>
    <col min="143" max="143" width="6.28515625" customWidth="1"/>
    <col min="144" max="144" width="8.85546875" customWidth="1"/>
    <col min="145" max="145" width="7.28515625" bestFit="1" customWidth="1"/>
    <col min="146" max="146" width="6.28515625" customWidth="1"/>
    <col min="147" max="147" width="8.85546875" customWidth="1"/>
    <col min="148" max="148" width="7.28515625" bestFit="1" customWidth="1"/>
    <col min="149" max="150" width="9.5703125" bestFit="1" customWidth="1"/>
    <col min="151" max="151" width="7.28515625" bestFit="1" customWidth="1"/>
    <col min="152" max="152" width="8.85546875" bestFit="1" customWidth="1"/>
    <col min="153" max="153" width="12" bestFit="1" customWidth="1"/>
    <col min="154" max="154" width="9.140625" customWidth="1"/>
    <col min="155" max="155" width="7.7109375" bestFit="1" customWidth="1"/>
    <col min="156" max="156" width="8.85546875" customWidth="1"/>
    <col min="157" max="157" width="7.28515625" bestFit="1" customWidth="1"/>
    <col min="158" max="158" width="8.140625" bestFit="1" customWidth="1"/>
    <col min="159" max="159" width="8.85546875" bestFit="1" customWidth="1"/>
    <col min="160" max="160" width="7.28515625" bestFit="1" customWidth="1"/>
    <col min="161" max="161" width="8.140625" bestFit="1" customWidth="1"/>
    <col min="162" max="162" width="8.85546875" bestFit="1" customWidth="1"/>
    <col min="163" max="163" width="7.28515625" bestFit="1" customWidth="1"/>
    <col min="164" max="164" width="9.5703125" bestFit="1" customWidth="1"/>
    <col min="165" max="165" width="9" bestFit="1" customWidth="1"/>
    <col min="166" max="166" width="7.28515625" bestFit="1" customWidth="1"/>
    <col min="167" max="167" width="8.85546875" bestFit="1" customWidth="1"/>
    <col min="168" max="168" width="12" bestFit="1" customWidth="1"/>
    <col min="169" max="169" width="9.140625" customWidth="1"/>
    <col min="170" max="170" width="7.5703125" bestFit="1" customWidth="1"/>
    <col min="171" max="171" width="8.85546875" bestFit="1" customWidth="1"/>
    <col min="172" max="172" width="7.28515625" bestFit="1" customWidth="1"/>
    <col min="173" max="173" width="6.28515625" bestFit="1" customWidth="1"/>
    <col min="174" max="174" width="8.85546875" bestFit="1" customWidth="1"/>
    <col min="175" max="175" width="7.28515625" bestFit="1" customWidth="1"/>
    <col min="176" max="176" width="6.5703125" bestFit="1" customWidth="1"/>
    <col min="177" max="177" width="8.85546875" bestFit="1" customWidth="1"/>
    <col min="178" max="178" width="7.28515625" bestFit="1" customWidth="1"/>
    <col min="179" max="179" width="9.5703125" bestFit="1" customWidth="1"/>
    <col min="180" max="180" width="9.140625" bestFit="1" customWidth="1"/>
    <col min="181" max="181" width="7.28515625" bestFit="1" customWidth="1"/>
    <col min="182" max="182" width="8.85546875" bestFit="1" customWidth="1"/>
    <col min="183" max="183" width="12" bestFit="1" customWidth="1"/>
    <col min="184" max="184" width="9.140625" customWidth="1"/>
    <col min="185" max="185" width="6.7109375" bestFit="1" customWidth="1"/>
    <col min="186" max="186" width="8.85546875" bestFit="1" customWidth="1"/>
    <col min="187" max="187" width="7.28515625" bestFit="1" customWidth="1"/>
    <col min="188" max="188" width="7.140625" bestFit="1" customWidth="1"/>
    <col min="189" max="189" width="8.85546875" bestFit="1" customWidth="1"/>
    <col min="190" max="190" width="7.28515625" bestFit="1" customWidth="1"/>
    <col min="191" max="191" width="7.140625" bestFit="1" customWidth="1"/>
    <col min="192" max="192" width="8.85546875" bestFit="1" customWidth="1"/>
    <col min="193" max="193" width="7.28515625" bestFit="1" customWidth="1"/>
    <col min="194" max="194" width="9.5703125" bestFit="1" customWidth="1"/>
    <col min="195" max="195" width="9" bestFit="1" customWidth="1"/>
    <col min="196" max="196" width="7.28515625" bestFit="1" customWidth="1"/>
    <col min="197" max="197" width="9.85546875" bestFit="1" customWidth="1"/>
    <col min="198" max="198" width="12" bestFit="1" customWidth="1"/>
    <col min="199" max="199" width="9.140625" customWidth="1"/>
    <col min="200" max="200" width="9.28515625" bestFit="1" customWidth="1"/>
    <col min="201" max="201" width="8.85546875" bestFit="1" customWidth="1"/>
    <col min="202" max="203" width="7.28515625" bestFit="1" customWidth="1"/>
    <col min="204" max="204" width="8.85546875" bestFit="1" customWidth="1"/>
    <col min="205" max="206" width="7.28515625" bestFit="1" customWidth="1"/>
    <col min="207" max="207" width="8.85546875" bestFit="1" customWidth="1"/>
    <col min="208" max="208" width="7.28515625" bestFit="1" customWidth="1"/>
    <col min="209" max="209" width="9.5703125" bestFit="1" customWidth="1"/>
    <col min="210" max="210" width="9" bestFit="1" customWidth="1"/>
    <col min="211" max="211" width="7.28515625" bestFit="1" customWidth="1"/>
    <col min="212" max="213" width="8.85546875" bestFit="1" customWidth="1"/>
    <col min="214" max="214" width="12.140625" bestFit="1" customWidth="1"/>
  </cols>
  <sheetData>
    <row r="1" spans="1:214" ht="13.5" thickTop="1" x14ac:dyDescent="0.2">
      <c r="A1" s="430" t="s">
        <v>413</v>
      </c>
      <c r="B1" s="431"/>
      <c r="C1" s="432"/>
      <c r="D1" s="98" t="s">
        <v>3</v>
      </c>
      <c r="E1" s="99"/>
      <c r="F1" s="99" t="s">
        <v>0</v>
      </c>
      <c r="G1" s="260" t="s">
        <v>3</v>
      </c>
      <c r="H1" s="114"/>
      <c r="I1" s="114" t="s">
        <v>0</v>
      </c>
      <c r="J1" s="257" t="s">
        <v>3</v>
      </c>
      <c r="K1" s="104"/>
      <c r="L1" s="105" t="s">
        <v>0</v>
      </c>
      <c r="M1" s="117" t="s">
        <v>13</v>
      </c>
      <c r="N1" s="118" t="s">
        <v>14</v>
      </c>
      <c r="O1" s="118" t="s">
        <v>0</v>
      </c>
      <c r="P1" s="252" t="s">
        <v>13</v>
      </c>
      <c r="Q1" s="118" t="s">
        <v>141</v>
      </c>
      <c r="R1" s="118" t="s">
        <v>0</v>
      </c>
      <c r="S1" s="252" t="s">
        <v>13</v>
      </c>
      <c r="T1" s="118" t="s">
        <v>16</v>
      </c>
      <c r="U1" s="119" t="s">
        <v>0</v>
      </c>
      <c r="V1" s="88" t="s">
        <v>1</v>
      </c>
      <c r="W1" s="89" t="s">
        <v>2</v>
      </c>
      <c r="X1" s="89" t="s">
        <v>0</v>
      </c>
      <c r="Y1" s="248" t="s">
        <v>1</v>
      </c>
      <c r="Z1" s="89" t="s">
        <v>4</v>
      </c>
      <c r="AA1" s="90" t="s">
        <v>0</v>
      </c>
      <c r="AB1" s="149" t="s">
        <v>1</v>
      </c>
      <c r="AC1" s="243" t="s">
        <v>4</v>
      </c>
      <c r="AD1" s="240" t="s">
        <v>5</v>
      </c>
      <c r="AE1" s="243" t="s">
        <v>2</v>
      </c>
      <c r="AF1" s="243" t="s">
        <v>7</v>
      </c>
      <c r="AG1" s="240" t="s">
        <v>6</v>
      </c>
      <c r="AH1" s="163" t="s">
        <v>15</v>
      </c>
      <c r="AI1" s="133" t="s">
        <v>13</v>
      </c>
      <c r="AJ1" s="134" t="s">
        <v>14</v>
      </c>
      <c r="AK1" s="134" t="s">
        <v>0</v>
      </c>
      <c r="AL1" s="233" t="s">
        <v>13</v>
      </c>
      <c r="AM1" s="134" t="s">
        <v>141</v>
      </c>
      <c r="AN1" s="134" t="s">
        <v>0</v>
      </c>
      <c r="AO1" s="233" t="s">
        <v>13</v>
      </c>
      <c r="AP1" s="134" t="s">
        <v>16</v>
      </c>
      <c r="AQ1" s="135" t="s">
        <v>0</v>
      </c>
      <c r="AR1" s="141" t="s">
        <v>13</v>
      </c>
      <c r="AS1" s="142" t="s">
        <v>14</v>
      </c>
      <c r="AT1" s="142" t="s">
        <v>0</v>
      </c>
      <c r="AU1" s="236" t="s">
        <v>13</v>
      </c>
      <c r="AV1" s="142" t="s">
        <v>141</v>
      </c>
      <c r="AW1" s="142" t="s">
        <v>0</v>
      </c>
      <c r="AX1" s="236" t="s">
        <v>13</v>
      </c>
      <c r="AY1" s="142" t="s">
        <v>16</v>
      </c>
      <c r="AZ1" s="143" t="s">
        <v>0</v>
      </c>
      <c r="BA1" s="141" t="s">
        <v>13</v>
      </c>
      <c r="BB1" s="142" t="s">
        <v>14</v>
      </c>
      <c r="BC1" s="142" t="s">
        <v>0</v>
      </c>
      <c r="BD1" s="236" t="s">
        <v>13</v>
      </c>
      <c r="BE1" s="142" t="s">
        <v>141</v>
      </c>
      <c r="BF1" s="142" t="s">
        <v>0</v>
      </c>
      <c r="BG1" s="236" t="s">
        <v>13</v>
      </c>
      <c r="BH1" s="142" t="s">
        <v>16</v>
      </c>
      <c r="BI1" s="143" t="s">
        <v>0</v>
      </c>
      <c r="BJ1" s="141" t="s">
        <v>13</v>
      </c>
      <c r="BK1" s="142" t="s">
        <v>14</v>
      </c>
      <c r="BL1" s="142" t="s">
        <v>0</v>
      </c>
      <c r="BM1" s="236" t="s">
        <v>13</v>
      </c>
      <c r="BN1" s="142" t="s">
        <v>141</v>
      </c>
      <c r="BO1" s="142" t="s">
        <v>0</v>
      </c>
      <c r="BP1" s="236" t="s">
        <v>13</v>
      </c>
      <c r="BQ1" s="142" t="s">
        <v>16</v>
      </c>
      <c r="BR1" s="143" t="s">
        <v>0</v>
      </c>
      <c r="BS1" s="230" t="s">
        <v>8</v>
      </c>
      <c r="BT1" s="76"/>
      <c r="BU1" s="76" t="s">
        <v>0</v>
      </c>
      <c r="BV1" s="230" t="s">
        <v>8</v>
      </c>
      <c r="BW1" s="76"/>
      <c r="BX1" s="76" t="s">
        <v>0</v>
      </c>
      <c r="BY1" s="230" t="s">
        <v>397</v>
      </c>
      <c r="BZ1" s="76"/>
      <c r="CA1" s="76" t="s">
        <v>0</v>
      </c>
      <c r="CB1" s="230" t="s">
        <v>8</v>
      </c>
      <c r="CC1" s="76" t="s">
        <v>14</v>
      </c>
      <c r="CD1" s="76" t="s">
        <v>0</v>
      </c>
      <c r="CE1" s="230" t="s">
        <v>8</v>
      </c>
      <c r="CF1" s="76" t="s">
        <v>141</v>
      </c>
      <c r="CG1" s="76" t="s">
        <v>0</v>
      </c>
      <c r="CH1" s="230" t="s">
        <v>8</v>
      </c>
      <c r="CI1" s="76" t="s">
        <v>16</v>
      </c>
      <c r="CJ1" s="77" t="s">
        <v>0</v>
      </c>
      <c r="CK1" s="230" t="s">
        <v>8</v>
      </c>
      <c r="CL1" s="76" t="s">
        <v>301</v>
      </c>
      <c r="CM1" s="77" t="s">
        <v>0</v>
      </c>
      <c r="CN1" s="230" t="s">
        <v>8</v>
      </c>
      <c r="CO1" s="76" t="s">
        <v>301</v>
      </c>
      <c r="CP1" s="77" t="s">
        <v>0</v>
      </c>
      <c r="CQ1" s="230" t="s">
        <v>8</v>
      </c>
      <c r="CR1" s="76" t="s">
        <v>301</v>
      </c>
      <c r="CS1" s="77" t="s">
        <v>0</v>
      </c>
      <c r="CT1" s="382" t="s">
        <v>295</v>
      </c>
      <c r="CU1" s="383"/>
      <c r="CV1" s="384" t="s">
        <v>0</v>
      </c>
      <c r="CW1" s="265" t="s">
        <v>295</v>
      </c>
      <c r="CX1" s="174"/>
      <c r="CY1" s="174" t="s">
        <v>0</v>
      </c>
      <c r="CZ1" s="268" t="s">
        <v>9</v>
      </c>
      <c r="DA1" s="178"/>
      <c r="DB1" s="179" t="s">
        <v>0</v>
      </c>
      <c r="DC1" s="307" t="s">
        <v>9</v>
      </c>
      <c r="DD1" s="307"/>
      <c r="DE1" s="307" t="s">
        <v>0</v>
      </c>
      <c r="DF1" s="27" t="s">
        <v>9</v>
      </c>
      <c r="DG1" s="28" t="s">
        <v>10</v>
      </c>
      <c r="DH1" s="28" t="s">
        <v>0</v>
      </c>
      <c r="DI1" s="226" t="s">
        <v>9</v>
      </c>
      <c r="DJ1" s="28" t="s">
        <v>11</v>
      </c>
      <c r="DK1" s="28" t="s">
        <v>0</v>
      </c>
      <c r="DL1" s="226" t="s">
        <v>9</v>
      </c>
      <c r="DM1" s="28" t="s">
        <v>12</v>
      </c>
      <c r="DN1" s="28" t="s">
        <v>0</v>
      </c>
      <c r="DO1" s="226" t="s">
        <v>9</v>
      </c>
      <c r="DP1" s="28" t="s">
        <v>12</v>
      </c>
      <c r="DQ1" s="29" t="s">
        <v>0</v>
      </c>
      <c r="DR1" s="23" t="s">
        <v>9</v>
      </c>
      <c r="DS1" s="23"/>
      <c r="DT1" s="23" t="s">
        <v>0</v>
      </c>
      <c r="DU1" s="315" t="s">
        <v>9</v>
      </c>
      <c r="DV1" s="316" t="s">
        <v>10</v>
      </c>
      <c r="DW1" s="316" t="s">
        <v>0</v>
      </c>
      <c r="DX1" s="317" t="s">
        <v>9</v>
      </c>
      <c r="DY1" s="316" t="s">
        <v>11</v>
      </c>
      <c r="DZ1" s="316" t="s">
        <v>0</v>
      </c>
      <c r="EA1" s="317" t="s">
        <v>9</v>
      </c>
      <c r="EB1" s="316" t="s">
        <v>12</v>
      </c>
      <c r="EC1" s="316" t="s">
        <v>0</v>
      </c>
      <c r="ED1" s="317" t="s">
        <v>9</v>
      </c>
      <c r="EE1" s="316" t="s">
        <v>12</v>
      </c>
      <c r="EF1" s="318" t="s">
        <v>0</v>
      </c>
      <c r="EG1" s="18" t="s">
        <v>9</v>
      </c>
      <c r="EH1" s="18"/>
      <c r="EI1" s="18" t="s">
        <v>0</v>
      </c>
      <c r="EJ1" s="332" t="s">
        <v>9</v>
      </c>
      <c r="EK1" s="333" t="s">
        <v>10</v>
      </c>
      <c r="EL1" s="333" t="s">
        <v>0</v>
      </c>
      <c r="EM1" s="334" t="s">
        <v>9</v>
      </c>
      <c r="EN1" s="333" t="s">
        <v>11</v>
      </c>
      <c r="EO1" s="333" t="s">
        <v>0</v>
      </c>
      <c r="EP1" s="334" t="s">
        <v>9</v>
      </c>
      <c r="EQ1" s="333" t="s">
        <v>12</v>
      </c>
      <c r="ER1" s="333" t="s">
        <v>0</v>
      </c>
      <c r="ES1" s="334" t="s">
        <v>9</v>
      </c>
      <c r="ET1" s="333" t="s">
        <v>12</v>
      </c>
      <c r="EU1" s="335" t="s">
        <v>0</v>
      </c>
      <c r="EV1" s="37" t="s">
        <v>9</v>
      </c>
      <c r="EW1" s="37"/>
      <c r="EX1" s="37" t="s">
        <v>0</v>
      </c>
      <c r="EY1" s="192" t="s">
        <v>9</v>
      </c>
      <c r="EZ1" s="193" t="s">
        <v>10</v>
      </c>
      <c r="FA1" s="193" t="s">
        <v>0</v>
      </c>
      <c r="FB1" s="221" t="s">
        <v>9</v>
      </c>
      <c r="FC1" s="193" t="s">
        <v>11</v>
      </c>
      <c r="FD1" s="193" t="s">
        <v>0</v>
      </c>
      <c r="FE1" s="221" t="s">
        <v>9</v>
      </c>
      <c r="FF1" s="193" t="s">
        <v>12</v>
      </c>
      <c r="FG1" s="193" t="s">
        <v>0</v>
      </c>
      <c r="FH1" s="221" t="s">
        <v>9</v>
      </c>
      <c r="FI1" s="193" t="s">
        <v>12</v>
      </c>
      <c r="FJ1" s="194" t="s">
        <v>0</v>
      </c>
      <c r="FK1" s="41" t="s">
        <v>9</v>
      </c>
      <c r="FL1" s="42"/>
      <c r="FM1" s="43" t="s">
        <v>0</v>
      </c>
      <c r="FN1" s="204" t="s">
        <v>9</v>
      </c>
      <c r="FO1" s="205" t="s">
        <v>10</v>
      </c>
      <c r="FP1" s="205" t="s">
        <v>0</v>
      </c>
      <c r="FQ1" s="216" t="s">
        <v>9</v>
      </c>
      <c r="FR1" s="205" t="s">
        <v>11</v>
      </c>
      <c r="FS1" s="205" t="s">
        <v>0</v>
      </c>
      <c r="FT1" s="216" t="s">
        <v>9</v>
      </c>
      <c r="FU1" s="205" t="s">
        <v>12</v>
      </c>
      <c r="FV1" s="205" t="s">
        <v>0</v>
      </c>
      <c r="FW1" s="216" t="s">
        <v>9</v>
      </c>
      <c r="FX1" s="205" t="s">
        <v>12</v>
      </c>
      <c r="FY1" s="206" t="s">
        <v>0</v>
      </c>
      <c r="FZ1" s="53" t="s">
        <v>9</v>
      </c>
      <c r="GA1" s="54"/>
      <c r="GB1" s="55" t="s">
        <v>0</v>
      </c>
      <c r="GC1" s="272" t="s">
        <v>9</v>
      </c>
      <c r="GD1" s="273" t="s">
        <v>10</v>
      </c>
      <c r="GE1" s="273" t="s">
        <v>0</v>
      </c>
      <c r="GF1" s="284" t="s">
        <v>9</v>
      </c>
      <c r="GG1" s="273" t="s">
        <v>11</v>
      </c>
      <c r="GH1" s="273" t="s">
        <v>0</v>
      </c>
      <c r="GI1" s="284" t="s">
        <v>9</v>
      </c>
      <c r="GJ1" s="273" t="s">
        <v>12</v>
      </c>
      <c r="GK1" s="273" t="s">
        <v>0</v>
      </c>
      <c r="GL1" s="284" t="s">
        <v>9</v>
      </c>
      <c r="GM1" s="273" t="s">
        <v>12</v>
      </c>
      <c r="GN1" s="274" t="s">
        <v>0</v>
      </c>
      <c r="GO1" s="65" t="s">
        <v>9</v>
      </c>
      <c r="GP1" s="66"/>
      <c r="GQ1" s="67" t="s">
        <v>0</v>
      </c>
      <c r="GR1" s="288" t="s">
        <v>9</v>
      </c>
      <c r="GS1" s="289" t="s">
        <v>10</v>
      </c>
      <c r="GT1" s="289" t="s">
        <v>0</v>
      </c>
      <c r="GU1" s="296" t="s">
        <v>9</v>
      </c>
      <c r="GV1" s="289" t="s">
        <v>11</v>
      </c>
      <c r="GW1" s="289" t="s">
        <v>0</v>
      </c>
      <c r="GX1" s="296" t="s">
        <v>9</v>
      </c>
      <c r="GY1" s="289" t="s">
        <v>12</v>
      </c>
      <c r="GZ1" s="289" t="s">
        <v>0</v>
      </c>
      <c r="HA1" s="296" t="s">
        <v>9</v>
      </c>
      <c r="HB1" s="289" t="s">
        <v>12</v>
      </c>
      <c r="HC1" s="289" t="s">
        <v>0</v>
      </c>
      <c r="HD1" s="157" t="s">
        <v>456</v>
      </c>
      <c r="HE1" s="158" t="s">
        <v>0</v>
      </c>
      <c r="HF1" s="159" t="s">
        <v>17</v>
      </c>
    </row>
    <row r="2" spans="1:214" x14ac:dyDescent="0.2">
      <c r="A2" s="433"/>
      <c r="B2" s="434"/>
      <c r="C2" s="435"/>
      <c r="D2" s="100" t="s">
        <v>18</v>
      </c>
      <c r="E2" s="101" t="s">
        <v>456</v>
      </c>
      <c r="F2" s="101" t="s">
        <v>19</v>
      </c>
      <c r="G2" s="261" t="s">
        <v>20</v>
      </c>
      <c r="H2" s="115" t="s">
        <v>456</v>
      </c>
      <c r="I2" s="115" t="s">
        <v>21</v>
      </c>
      <c r="J2" s="258" t="s">
        <v>11</v>
      </c>
      <c r="K2" s="107" t="s">
        <v>456</v>
      </c>
      <c r="L2" s="108" t="s">
        <v>22</v>
      </c>
      <c r="M2" s="120" t="s">
        <v>32</v>
      </c>
      <c r="N2" s="121" t="s">
        <v>33</v>
      </c>
      <c r="O2" s="131" t="s">
        <v>22</v>
      </c>
      <c r="P2" s="253" t="s">
        <v>32</v>
      </c>
      <c r="Q2" s="121" t="s">
        <v>33</v>
      </c>
      <c r="R2" s="131" t="s">
        <v>22</v>
      </c>
      <c r="S2" s="253" t="s">
        <v>32</v>
      </c>
      <c r="T2" s="121" t="s">
        <v>33</v>
      </c>
      <c r="U2" s="122" t="s">
        <v>22</v>
      </c>
      <c r="V2" s="91" t="s">
        <v>18</v>
      </c>
      <c r="W2" s="92" t="s">
        <v>456</v>
      </c>
      <c r="X2" s="92" t="s">
        <v>19</v>
      </c>
      <c r="Y2" s="249" t="s">
        <v>18</v>
      </c>
      <c r="Z2" s="92" t="s">
        <v>456</v>
      </c>
      <c r="AA2" s="93" t="s">
        <v>19</v>
      </c>
      <c r="AB2" s="150" t="s">
        <v>11</v>
      </c>
      <c r="AC2" s="244" t="s">
        <v>456</v>
      </c>
      <c r="AD2" s="83" t="s">
        <v>456</v>
      </c>
      <c r="AE2" s="244" t="s">
        <v>456</v>
      </c>
      <c r="AF2" s="244" t="s">
        <v>456</v>
      </c>
      <c r="AG2" s="83" t="s">
        <v>456</v>
      </c>
      <c r="AH2" s="164" t="s">
        <v>22</v>
      </c>
      <c r="AI2" s="136" t="s">
        <v>5</v>
      </c>
      <c r="AJ2" s="84" t="s">
        <v>34</v>
      </c>
      <c r="AK2" s="151" t="s">
        <v>22</v>
      </c>
      <c r="AL2" s="234" t="s">
        <v>5</v>
      </c>
      <c r="AM2" s="84" t="s">
        <v>34</v>
      </c>
      <c r="AN2" s="151" t="s">
        <v>22</v>
      </c>
      <c r="AO2" s="234" t="s">
        <v>5</v>
      </c>
      <c r="AP2" s="84" t="s">
        <v>34</v>
      </c>
      <c r="AQ2" s="137" t="s">
        <v>22</v>
      </c>
      <c r="AR2" s="144" t="s">
        <v>2</v>
      </c>
      <c r="AS2" s="86" t="s">
        <v>34</v>
      </c>
      <c r="AT2" s="152" t="s">
        <v>22</v>
      </c>
      <c r="AU2" s="237" t="s">
        <v>2</v>
      </c>
      <c r="AV2" s="86" t="s">
        <v>34</v>
      </c>
      <c r="AW2" s="152" t="s">
        <v>22</v>
      </c>
      <c r="AX2" s="237" t="s">
        <v>2</v>
      </c>
      <c r="AY2" s="86" t="s">
        <v>34</v>
      </c>
      <c r="AZ2" s="145" t="s">
        <v>22</v>
      </c>
      <c r="BA2" s="144" t="s">
        <v>4</v>
      </c>
      <c r="BB2" s="86" t="s">
        <v>34</v>
      </c>
      <c r="BC2" s="152" t="s">
        <v>22</v>
      </c>
      <c r="BD2" s="237" t="s">
        <v>4</v>
      </c>
      <c r="BE2" s="86" t="s">
        <v>34</v>
      </c>
      <c r="BF2" s="152" t="s">
        <v>22</v>
      </c>
      <c r="BG2" s="237" t="s">
        <v>4</v>
      </c>
      <c r="BH2" s="86" t="s">
        <v>34</v>
      </c>
      <c r="BI2" s="145" t="s">
        <v>22</v>
      </c>
      <c r="BJ2" s="144" t="s">
        <v>222</v>
      </c>
      <c r="BK2" s="86" t="s">
        <v>34</v>
      </c>
      <c r="BL2" s="152" t="s">
        <v>22</v>
      </c>
      <c r="BM2" s="237" t="s">
        <v>222</v>
      </c>
      <c r="BN2" s="86" t="s">
        <v>34</v>
      </c>
      <c r="BO2" s="152" t="s">
        <v>22</v>
      </c>
      <c r="BP2" s="237" t="s">
        <v>222</v>
      </c>
      <c r="BQ2" s="86" t="s">
        <v>34</v>
      </c>
      <c r="BR2" s="145" t="s">
        <v>22</v>
      </c>
      <c r="BS2" s="231" t="s">
        <v>18</v>
      </c>
      <c r="BT2" s="78" t="s">
        <v>456</v>
      </c>
      <c r="BU2" s="155" t="s">
        <v>19</v>
      </c>
      <c r="BV2" s="231" t="s">
        <v>23</v>
      </c>
      <c r="BW2" s="78" t="s">
        <v>456</v>
      </c>
      <c r="BX2" s="155" t="s">
        <v>21</v>
      </c>
      <c r="BY2" s="231" t="s">
        <v>11</v>
      </c>
      <c r="BZ2" s="78" t="s">
        <v>456</v>
      </c>
      <c r="CA2" s="155" t="s">
        <v>22</v>
      </c>
      <c r="CB2" s="231" t="s">
        <v>32</v>
      </c>
      <c r="CC2" s="78" t="s">
        <v>13</v>
      </c>
      <c r="CD2" s="155" t="s">
        <v>22</v>
      </c>
      <c r="CE2" s="231" t="s">
        <v>32</v>
      </c>
      <c r="CF2" s="78" t="s">
        <v>13</v>
      </c>
      <c r="CG2" s="155" t="s">
        <v>22</v>
      </c>
      <c r="CH2" s="231" t="s">
        <v>32</v>
      </c>
      <c r="CI2" s="78" t="s">
        <v>13</v>
      </c>
      <c r="CJ2" s="79" t="s">
        <v>22</v>
      </c>
      <c r="CK2" s="231" t="s">
        <v>303</v>
      </c>
      <c r="CL2" s="78"/>
      <c r="CM2" s="79" t="s">
        <v>22</v>
      </c>
      <c r="CN2" s="231" t="s">
        <v>11</v>
      </c>
      <c r="CO2" s="78"/>
      <c r="CP2" s="79" t="s">
        <v>22</v>
      </c>
      <c r="CQ2" s="231" t="s">
        <v>10</v>
      </c>
      <c r="CR2" s="78"/>
      <c r="CS2" s="79" t="s">
        <v>22</v>
      </c>
      <c r="CT2" s="385" t="s">
        <v>11</v>
      </c>
      <c r="CU2" s="386" t="s">
        <v>456</v>
      </c>
      <c r="CV2" s="387" t="s">
        <v>22</v>
      </c>
      <c r="CW2" s="266" t="s">
        <v>18</v>
      </c>
      <c r="CX2" s="175" t="s">
        <v>456</v>
      </c>
      <c r="CY2" s="175" t="s">
        <v>19</v>
      </c>
      <c r="CZ2" s="269" t="s">
        <v>20</v>
      </c>
      <c r="DA2" s="180" t="s">
        <v>456</v>
      </c>
      <c r="DB2" s="181" t="s">
        <v>25</v>
      </c>
      <c r="DC2" s="308" t="s">
        <v>26</v>
      </c>
      <c r="DD2" s="308" t="s">
        <v>456</v>
      </c>
      <c r="DE2" s="308" t="s">
        <v>25</v>
      </c>
      <c r="DF2" s="30" t="s">
        <v>26</v>
      </c>
      <c r="DG2" s="31" t="s">
        <v>456</v>
      </c>
      <c r="DH2" s="31" t="s">
        <v>29</v>
      </c>
      <c r="DI2" s="227" t="s">
        <v>26</v>
      </c>
      <c r="DJ2" s="31" t="s">
        <v>456</v>
      </c>
      <c r="DK2" s="31" t="s">
        <v>29</v>
      </c>
      <c r="DL2" s="227" t="s">
        <v>26</v>
      </c>
      <c r="DM2" s="31" t="s">
        <v>30</v>
      </c>
      <c r="DN2" s="31" t="s">
        <v>29</v>
      </c>
      <c r="DO2" s="227" t="s">
        <v>26</v>
      </c>
      <c r="DP2" s="31" t="s">
        <v>31</v>
      </c>
      <c r="DQ2" s="32" t="s">
        <v>29</v>
      </c>
      <c r="DR2" s="24" t="s">
        <v>27</v>
      </c>
      <c r="DS2" s="24" t="s">
        <v>456</v>
      </c>
      <c r="DT2" s="24" t="s">
        <v>25</v>
      </c>
      <c r="DU2" s="319" t="s">
        <v>27</v>
      </c>
      <c r="DV2" s="320" t="s">
        <v>456</v>
      </c>
      <c r="DW2" s="320" t="s">
        <v>29</v>
      </c>
      <c r="DX2" s="314" t="s">
        <v>27</v>
      </c>
      <c r="DY2" s="320" t="s">
        <v>456</v>
      </c>
      <c r="DZ2" s="320" t="s">
        <v>29</v>
      </c>
      <c r="EA2" s="314" t="s">
        <v>27</v>
      </c>
      <c r="EB2" s="320" t="s">
        <v>30</v>
      </c>
      <c r="EC2" s="320" t="s">
        <v>29</v>
      </c>
      <c r="ED2" s="314" t="s">
        <v>27</v>
      </c>
      <c r="EE2" s="320" t="s">
        <v>31</v>
      </c>
      <c r="EF2" s="321" t="s">
        <v>29</v>
      </c>
      <c r="EG2" s="19" t="s">
        <v>28</v>
      </c>
      <c r="EH2" s="19" t="s">
        <v>456</v>
      </c>
      <c r="EI2" s="19" t="s">
        <v>25</v>
      </c>
      <c r="EJ2" s="336" t="s">
        <v>28</v>
      </c>
      <c r="EK2" s="337" t="s">
        <v>456</v>
      </c>
      <c r="EL2" s="337" t="s">
        <v>29</v>
      </c>
      <c r="EM2" s="331" t="s">
        <v>28</v>
      </c>
      <c r="EN2" s="337" t="s">
        <v>456</v>
      </c>
      <c r="EO2" s="337" t="s">
        <v>29</v>
      </c>
      <c r="EP2" s="331" t="s">
        <v>28</v>
      </c>
      <c r="EQ2" s="337" t="s">
        <v>30</v>
      </c>
      <c r="ER2" s="337" t="s">
        <v>29</v>
      </c>
      <c r="ES2" s="331" t="s">
        <v>28</v>
      </c>
      <c r="ET2" s="337" t="s">
        <v>31</v>
      </c>
      <c r="EU2" s="338" t="s">
        <v>29</v>
      </c>
      <c r="EV2" s="38" t="s">
        <v>230</v>
      </c>
      <c r="EW2" s="38" t="s">
        <v>456</v>
      </c>
      <c r="EX2" s="38" t="s">
        <v>25</v>
      </c>
      <c r="EY2" s="195" t="s">
        <v>230</v>
      </c>
      <c r="EZ2" s="196" t="s">
        <v>456</v>
      </c>
      <c r="FA2" s="196" t="s">
        <v>29</v>
      </c>
      <c r="FB2" s="222" t="s">
        <v>230</v>
      </c>
      <c r="FC2" s="196" t="s">
        <v>456</v>
      </c>
      <c r="FD2" s="196" t="s">
        <v>29</v>
      </c>
      <c r="FE2" s="222" t="s">
        <v>230</v>
      </c>
      <c r="FF2" s="196" t="s">
        <v>30</v>
      </c>
      <c r="FG2" s="196" t="s">
        <v>29</v>
      </c>
      <c r="FH2" s="222" t="s">
        <v>230</v>
      </c>
      <c r="FI2" s="196" t="s">
        <v>31</v>
      </c>
      <c r="FJ2" s="197" t="s">
        <v>29</v>
      </c>
      <c r="FK2" s="44" t="s">
        <v>150</v>
      </c>
      <c r="FL2" s="45" t="s">
        <v>456</v>
      </c>
      <c r="FM2" s="46" t="s">
        <v>25</v>
      </c>
      <c r="FN2" s="207" t="s">
        <v>150</v>
      </c>
      <c r="FO2" s="208" t="s">
        <v>456</v>
      </c>
      <c r="FP2" s="208" t="s">
        <v>29</v>
      </c>
      <c r="FQ2" s="217" t="s">
        <v>150</v>
      </c>
      <c r="FR2" s="208" t="s">
        <v>456</v>
      </c>
      <c r="FS2" s="208" t="s">
        <v>29</v>
      </c>
      <c r="FT2" s="217" t="s">
        <v>150</v>
      </c>
      <c r="FU2" s="208" t="s">
        <v>30</v>
      </c>
      <c r="FV2" s="208" t="s">
        <v>29</v>
      </c>
      <c r="FW2" s="217" t="s">
        <v>150</v>
      </c>
      <c r="FX2" s="208" t="s">
        <v>31</v>
      </c>
      <c r="FY2" s="209" t="s">
        <v>29</v>
      </c>
      <c r="FZ2" s="56" t="s">
        <v>231</v>
      </c>
      <c r="GA2" s="57" t="s">
        <v>456</v>
      </c>
      <c r="GB2" s="58" t="s">
        <v>25</v>
      </c>
      <c r="GC2" s="275" t="s">
        <v>231</v>
      </c>
      <c r="GD2" s="276" t="s">
        <v>456</v>
      </c>
      <c r="GE2" s="276" t="s">
        <v>29</v>
      </c>
      <c r="GF2" s="285" t="s">
        <v>231</v>
      </c>
      <c r="GG2" s="276" t="s">
        <v>456</v>
      </c>
      <c r="GH2" s="276" t="s">
        <v>29</v>
      </c>
      <c r="GI2" s="285" t="s">
        <v>231</v>
      </c>
      <c r="GJ2" s="276" t="s">
        <v>30</v>
      </c>
      <c r="GK2" s="276" t="s">
        <v>29</v>
      </c>
      <c r="GL2" s="285" t="s">
        <v>231</v>
      </c>
      <c r="GM2" s="276" t="s">
        <v>31</v>
      </c>
      <c r="GN2" s="277" t="s">
        <v>29</v>
      </c>
      <c r="GO2" s="22" t="s">
        <v>232</v>
      </c>
      <c r="GP2" s="68" t="s">
        <v>456</v>
      </c>
      <c r="GQ2" s="69" t="s">
        <v>25</v>
      </c>
      <c r="GR2" s="290" t="s">
        <v>232</v>
      </c>
      <c r="GS2" s="291" t="s">
        <v>456</v>
      </c>
      <c r="GT2" s="291" t="s">
        <v>29</v>
      </c>
      <c r="GU2" s="297" t="s">
        <v>232</v>
      </c>
      <c r="GV2" s="291" t="s">
        <v>456</v>
      </c>
      <c r="GW2" s="291" t="s">
        <v>29</v>
      </c>
      <c r="GX2" s="297" t="s">
        <v>232</v>
      </c>
      <c r="GY2" s="291" t="s">
        <v>30</v>
      </c>
      <c r="GZ2" s="291" t="s">
        <v>29</v>
      </c>
      <c r="HA2" s="297" t="s">
        <v>232</v>
      </c>
      <c r="HB2" s="291" t="s">
        <v>31</v>
      </c>
      <c r="HC2" s="291" t="s">
        <v>29</v>
      </c>
      <c r="HD2" s="160" t="s">
        <v>22</v>
      </c>
      <c r="HE2" s="161" t="s">
        <v>33</v>
      </c>
      <c r="HF2" s="162" t="s">
        <v>35</v>
      </c>
    </row>
    <row r="3" spans="1:214" x14ac:dyDescent="0.2">
      <c r="A3" s="433"/>
      <c r="B3" s="434"/>
      <c r="C3" s="435"/>
      <c r="D3" s="100" t="s">
        <v>36</v>
      </c>
      <c r="E3" s="408">
        <f>1/((1/E20)+(1/E21))</f>
        <v>1.0418752937578239E-3</v>
      </c>
      <c r="F3" s="168"/>
      <c r="G3" s="261"/>
      <c r="H3" s="408">
        <f>1/((1/H10)+(1/H11)+(1/H12)+(1/H13))</f>
        <v>2.0811349855962289E-3</v>
      </c>
      <c r="I3" s="167"/>
      <c r="J3" s="258"/>
      <c r="K3" s="408">
        <f>1/((1/K14)+(1/K15)+(1/K16+(1/K17)))</f>
        <v>0.80711133778938471</v>
      </c>
      <c r="L3" s="110"/>
      <c r="M3" s="120" t="s">
        <v>475</v>
      </c>
      <c r="N3" s="123">
        <f>(N5*N6*N7)/((1-EXP(-N7*N6))*N10*N15*(N9/365)*N13*((N14*N12)+(N16*N11)))</f>
        <v>82.898985937980513</v>
      </c>
      <c r="O3" s="131"/>
      <c r="P3" s="253" t="s">
        <v>475</v>
      </c>
      <c r="Q3" s="123">
        <f>(Q5*Q6*Q7)/((1-EXP(-Q7*Q6))*Q10*Q15*(Q9/365)*Q13*((Q14*Q12)+(Q16*Q11)))</f>
        <v>167.14958577712375</v>
      </c>
      <c r="R3" s="131"/>
      <c r="S3" s="253" t="s">
        <v>475</v>
      </c>
      <c r="T3" s="123">
        <f>(T5*T6*T7)/((1-EXP(-T7*T6))*T10*T15*(T9/365)*T13*((T14*T12)+(T16*T11)))</f>
        <v>82.898985937980513</v>
      </c>
      <c r="U3" s="122"/>
      <c r="V3" s="91" t="s">
        <v>37</v>
      </c>
      <c r="W3" s="94">
        <f>1/((1/W18)+(1/W19))</f>
        <v>1.4348419707183094E-3</v>
      </c>
      <c r="X3" s="127"/>
      <c r="Y3" s="250" t="s">
        <v>37</v>
      </c>
      <c r="Z3" s="94">
        <f>1/((1/Z18)+(1/Z19))</f>
        <v>1.2913577736464784E-3</v>
      </c>
      <c r="AA3" s="95"/>
      <c r="AB3" s="150"/>
      <c r="AC3" s="245">
        <f>1/((1/AC37)+(1/AC38)+(1/AC39))</f>
        <v>37.0431930295466</v>
      </c>
      <c r="AD3" s="132">
        <f>1/((1/AD37)+(1/AD38)+(1/AD39))</f>
        <v>77.238519557050239</v>
      </c>
      <c r="AE3" s="245">
        <f>1/((1/AE37)+(1/AE38)+(1/AE39))</f>
        <v>41.159103366162896</v>
      </c>
      <c r="AF3" s="245">
        <f>1/((1/AF37)+(1/AF38)+(1/AF39))</f>
        <v>0.93406061460675271</v>
      </c>
      <c r="AG3" s="132">
        <f>1/((1/AG37)+(1/AG39)+(1/AG40))</f>
        <v>11.307601272393958</v>
      </c>
      <c r="AH3" s="165"/>
      <c r="AI3" s="136" t="s">
        <v>475</v>
      </c>
      <c r="AJ3" s="85">
        <f>(AJ5*AJ6*AJ7)/((1-EXP(-AJ7*AJ6))*AJ10*AJ15*(AJ9/365)*AJ13*((AJ14*AJ12)+(AJ16*AJ11)))</f>
        <v>301.10614251290951</v>
      </c>
      <c r="AK3" s="151"/>
      <c r="AL3" s="234" t="s">
        <v>475</v>
      </c>
      <c r="AM3" s="85">
        <f>(AM5*AM6*AM7)/((1-EXP(-AM7*AM6))*AM10*AM15*(AM9/365)*AM13*((AM14*AM12)+(AM16*AM11)))</f>
        <v>607.12162430592082</v>
      </c>
      <c r="AN3" s="151"/>
      <c r="AO3" s="234" t="s">
        <v>475</v>
      </c>
      <c r="AP3" s="85">
        <f>(AP5*AP6*AP7)/((1-EXP(-AP7*AP6))*AP10*AP15*(AP9/365)*AP13*((AP14*AP12)+(AP16*AP11)))</f>
        <v>301.10614251290951</v>
      </c>
      <c r="AQ3" s="137"/>
      <c r="AR3" s="144" t="s">
        <v>475</v>
      </c>
      <c r="AS3" s="87">
        <f>(AS5*AS6*AS7)/((1-EXP(-AS7*AS6))*AS10*AS15*(AS9/365)*AS13*((AS14*AS12)+(AS16*AS11)))</f>
        <v>133.82495222795976</v>
      </c>
      <c r="AT3" s="152"/>
      <c r="AU3" s="237" t="s">
        <v>475</v>
      </c>
      <c r="AV3" s="87">
        <f>(AV5*AV6*AV7)/((1-EXP(-AV7*AV6))*AV10*AV15*(AV9/365)*AV13*((AV14*AV12)+(AV16*AV11)))</f>
        <v>269.83183302485367</v>
      </c>
      <c r="AW3" s="152"/>
      <c r="AX3" s="237" t="s">
        <v>475</v>
      </c>
      <c r="AY3" s="87">
        <f>(AY5*AY6*AY7)/((1-EXP(-AY7*AY6))*AY10*AY15*(AY9/365)*AY13*((AY14*AY12)+(AY16*AY11)))</f>
        <v>133.82495222795976</v>
      </c>
      <c r="AZ3" s="145"/>
      <c r="BA3" s="144" t="s">
        <v>475</v>
      </c>
      <c r="BB3" s="87">
        <f>(BB5*BB6*BB7)/((1-EXP(-BB7*BB6))*BB10*BB15*(BB9/365)*BB13*((BB14*BB12)+(BB16*BB11)))</f>
        <v>120.4424570051638</v>
      </c>
      <c r="BC3" s="152"/>
      <c r="BD3" s="237" t="s">
        <v>475</v>
      </c>
      <c r="BE3" s="87">
        <f>(BE5*BE6*BE7)/((1-EXP(-BE7*BE6))*BE10*BE15*(BE9/365)*BE13*((BE14*BE12)+(BE16*BE11)))</f>
        <v>242.84864972236832</v>
      </c>
      <c r="BF3" s="152"/>
      <c r="BG3" s="237" t="s">
        <v>475</v>
      </c>
      <c r="BH3" s="87">
        <f>(BH5*BH6*BH7)/((1-EXP(-BH7*BH6))*BH10*BH15*(BH9/365)*BH13*((BH14*BH12)+(BH16*BH11)))</f>
        <v>120.4424570051638</v>
      </c>
      <c r="BI3" s="145"/>
      <c r="BJ3" s="144" t="s">
        <v>475</v>
      </c>
      <c r="BK3" s="87">
        <f>(BK5*BK6*BK7)/((1-EXP(-BK7*BK6))*BK12*BK16*(BK9/365)*BK14*BK15*BK13)</f>
        <v>651083.17989413277</v>
      </c>
      <c r="BL3" s="152"/>
      <c r="BM3" s="237" t="s">
        <v>475</v>
      </c>
      <c r="BN3" s="87">
        <f>(BN5*BN6*BN7)/((1-EXP(-BN7*BN6))*BN12*BN16*(BN9/365)*BN14*BN15*BN13)</f>
        <v>2740500.6271045725</v>
      </c>
      <c r="BO3" s="152"/>
      <c r="BP3" s="237" t="s">
        <v>475</v>
      </c>
      <c r="BQ3" s="87">
        <f>(BQ5*BQ6*BQ7)/((1-EXP(-BQ7*BQ6))*BQ12*BQ16*(BQ9/365)*BQ14*BQ15*BQ13)</f>
        <v>789736.23709948373</v>
      </c>
      <c r="BR3" s="145"/>
      <c r="BS3" s="231" t="s">
        <v>36</v>
      </c>
      <c r="BT3" s="80">
        <f>1/((1/BT21)+(1/BT22))</f>
        <v>6.8817201110081758E-2</v>
      </c>
      <c r="BU3" s="155"/>
      <c r="BV3" s="231"/>
      <c r="BW3" s="80">
        <f>1/((1/BW10)+(1/BW12))</f>
        <v>300.30013352866001</v>
      </c>
      <c r="BX3" s="155"/>
      <c r="BY3" s="231"/>
      <c r="BZ3" s="80">
        <f>1/((1/BZ13)+(1/BZ14)+(1/BZ15))</f>
        <v>61.281711734246478</v>
      </c>
      <c r="CA3" s="155"/>
      <c r="CB3" s="231" t="s">
        <v>475</v>
      </c>
      <c r="CC3" s="80">
        <f>(CC5*CC6*CC7)/((1-EXP(-CC7*CC6))*CC10*CC14*(CC9/365)*CC12*(CC13/24)*CC11)</f>
        <v>17712598.790749215</v>
      </c>
      <c r="CD3" s="155"/>
      <c r="CE3" s="231" t="s">
        <v>475</v>
      </c>
      <c r="CF3" s="80">
        <f>(CF5*CF6*CF7)/((1-EXP(-CF7*CF6))*CF10*CF14*(CF9/365)*CF12*(CF13/24)*CF11)</f>
        <v>74554818.174834162</v>
      </c>
      <c r="CG3" s="155"/>
      <c r="CH3" s="231" t="s">
        <v>475</v>
      </c>
      <c r="CI3" s="80">
        <f>(CI5*CI6*CI7)/((1-EXP(-CI7*CI6))*CI10*CI14*(CI9/365)*CI12*(CI13/24)*CI11)</f>
        <v>21484629.844889663</v>
      </c>
      <c r="CJ3" s="79"/>
      <c r="CK3" s="231" t="s">
        <v>456</v>
      </c>
      <c r="CL3" s="80">
        <f>CL5/(CL6*CL7*CL8*CL9)</f>
        <v>18.018018018018019</v>
      </c>
      <c r="CM3" s="79"/>
      <c r="CN3" s="231" t="s">
        <v>456</v>
      </c>
      <c r="CO3" s="80">
        <f>CL3/(CO5*((CO10*CO12*CO13*(CO6+CO7))+(CO11*CO12)))</f>
        <v>2392.8310780900424</v>
      </c>
      <c r="CP3" s="79"/>
      <c r="CQ3" s="231" t="s">
        <v>456</v>
      </c>
      <c r="CR3" s="80">
        <f>CL3/(CR5*CR6*(1/CR7))</f>
        <v>3003003.0030030031</v>
      </c>
      <c r="CS3" s="79"/>
      <c r="CT3" s="385"/>
      <c r="CU3" s="388">
        <f>1/((1/CU14)+(1/CU15)+(1/CU16+(1/CU17)))</f>
        <v>0.19393178817108545</v>
      </c>
      <c r="CV3" s="389"/>
      <c r="CW3" s="266" t="s">
        <v>36</v>
      </c>
      <c r="CX3" s="176">
        <f>1/((1/CX20)+(1/CX21))</f>
        <v>9.9638801824070491E-4</v>
      </c>
      <c r="CY3" s="263"/>
      <c r="CZ3" s="270"/>
      <c r="DA3" s="182">
        <f>1/((1/DA13)+(1/DA14)+(1/DA15)+(1/DA16))</f>
        <v>1.9894836440098513E-3</v>
      </c>
      <c r="DB3" s="183"/>
      <c r="DC3" s="308"/>
      <c r="DD3" s="313">
        <f>DD7</f>
        <v>5.0953531652970785E-2</v>
      </c>
      <c r="DE3" s="309" t="s">
        <v>384</v>
      </c>
      <c r="DF3" s="30"/>
      <c r="DG3" s="33">
        <f>DD7/((1/DG24)*(DG5+DG6+DG7))</f>
        <v>4.0030697946591474</v>
      </c>
      <c r="DH3" s="186" t="s">
        <v>384</v>
      </c>
      <c r="DI3" s="227"/>
      <c r="DJ3" s="33">
        <f>DD7/(DJ5+DJ6)</f>
        <v>0.19593744146499051</v>
      </c>
      <c r="DK3" s="186" t="s">
        <v>384</v>
      </c>
      <c r="DL3" s="227"/>
      <c r="DM3" s="33">
        <f>(DD7)/(DM5+DM6)</f>
        <v>0.19593744146499051</v>
      </c>
      <c r="DN3" s="186"/>
      <c r="DO3" s="227"/>
      <c r="DP3" s="33">
        <f>-(DP5+DP6+DP7)/(DP23+DP24)</f>
        <v>-49.753026107995034</v>
      </c>
      <c r="DQ3" s="34"/>
      <c r="DR3" s="24"/>
      <c r="DS3" s="25">
        <f>DS7</f>
        <v>6.8805201122763273E-3</v>
      </c>
      <c r="DT3" s="170" t="s">
        <v>384</v>
      </c>
      <c r="DU3" s="319"/>
      <c r="DV3" s="322">
        <f>DS7/(DV5*DV6)</f>
        <v>37.394131044980043</v>
      </c>
      <c r="DW3" s="323"/>
      <c r="DX3" s="314"/>
      <c r="DY3" s="322">
        <f>DS7/(DY9*((DY10*DY12*DY13*(DY5+DY6))+(DY11*DY12)))</f>
        <v>726.3449151545824</v>
      </c>
      <c r="DZ3" s="323" t="s">
        <v>384</v>
      </c>
      <c r="EA3" s="314"/>
      <c r="EB3" s="322">
        <f>DS7/(EB9*((EB10*EB12*EB13*(EB5+EB6))+(EB11*EB12)))</f>
        <v>726.3449151545824</v>
      </c>
      <c r="EC3" s="323"/>
      <c r="ED3" s="314"/>
      <c r="EE3" s="322">
        <f>-EE15/((EE10*EE12*EE13*(EE5+EE6))+(EE11*EE12))</f>
        <v>-19.424035132167891</v>
      </c>
      <c r="EF3" s="324"/>
      <c r="EG3" s="19"/>
      <c r="EH3" s="20">
        <f>EH7</f>
        <v>3.2490291856286088E-2</v>
      </c>
      <c r="EI3" s="189" t="s">
        <v>384</v>
      </c>
      <c r="EJ3" s="336"/>
      <c r="EK3" s="339">
        <f>EH7/(EK5*EK6)</f>
        <v>12.260487492938147</v>
      </c>
      <c r="EL3" s="340"/>
      <c r="EM3" s="331"/>
      <c r="EN3" s="339">
        <f>EH7/(EN9*((EN10*EN12*EN13*(EN5+EN6))+(EN11*EN12)))</f>
        <v>190.94414452788081</v>
      </c>
      <c r="EO3" s="340" t="s">
        <v>384</v>
      </c>
      <c r="EP3" s="331"/>
      <c r="EQ3" s="339">
        <f>EH7/(EQ9*((EQ10*EQ12*EQ13*(EQ5+EQ6))+(EQ11*EQ12)))</f>
        <v>190.94414452788081</v>
      </c>
      <c r="ER3" s="340"/>
      <c r="ES3" s="331"/>
      <c r="ET3" s="339">
        <f>-ET15/((ET10*ET12*ET13*(ET5+ET6))+(ET11*ET12))</f>
        <v>-15.573943910294084</v>
      </c>
      <c r="EU3" s="341"/>
      <c r="EV3" s="191"/>
      <c r="EW3" s="39">
        <f>EW7</f>
        <v>0.10832178395591154</v>
      </c>
      <c r="EX3" s="191" t="s">
        <v>384</v>
      </c>
      <c r="EY3" s="198"/>
      <c r="EZ3" s="199">
        <f>EW7/(EZ5*EZ6*(1/EZ7))</f>
        <v>67701.114972444702</v>
      </c>
      <c r="FA3" s="199"/>
      <c r="FB3" s="223"/>
      <c r="FC3" s="199">
        <f>EW7/(FC9*((FC10*FC12*FC13*(FC5+FC6))+(FC11*FC12)))</f>
        <v>370.96501354764217</v>
      </c>
      <c r="FD3" s="220" t="s">
        <v>384</v>
      </c>
      <c r="FE3" s="225"/>
      <c r="FF3" s="199">
        <f>EW7/(FF9*(FF10*FF12*FF13*(FF5*FF6))+(FF11*FF12))</f>
        <v>4.9234936573751895</v>
      </c>
      <c r="FG3" s="199"/>
      <c r="FH3" s="223"/>
      <c r="FI3" s="199">
        <f>FI15/((FI10*FI12*FI13*(FI5+FI6))+(FI11*FI12))</f>
        <v>5.4794520547945202</v>
      </c>
      <c r="FJ3" s="203"/>
      <c r="FK3" s="47"/>
      <c r="FL3" s="48">
        <f>FL7</f>
        <v>3.5328814471456742E-2</v>
      </c>
      <c r="FM3" s="49"/>
      <c r="FN3" s="210"/>
      <c r="FO3" s="211">
        <f>FL7/(FR5*(1/FO7))</f>
        <v>1.1776271490485581</v>
      </c>
      <c r="FP3" s="211"/>
      <c r="FQ3" s="218"/>
      <c r="FR3" s="211">
        <f>(FL7*FR6)/FR5</f>
        <v>9.6565426221981755E-3</v>
      </c>
      <c r="FS3" s="211"/>
      <c r="FT3" s="218"/>
      <c r="FU3" s="211">
        <f>(FL7*FU15)/FU14</f>
        <v>9.6565426221981755E-3</v>
      </c>
      <c r="FV3" s="211"/>
      <c r="FW3" s="218"/>
      <c r="FX3" s="211">
        <f>-FX29/FX30</f>
        <v>-8.199999999999999E-3</v>
      </c>
      <c r="FY3" s="212"/>
      <c r="FZ3" s="59"/>
      <c r="GA3" s="60">
        <f>GA7</f>
        <v>4.5197768097062517E-2</v>
      </c>
      <c r="GB3" s="61" t="s">
        <v>384</v>
      </c>
      <c r="GC3" s="278"/>
      <c r="GD3" s="279">
        <f>FL7/(GD5*GD6*(1/GD7))</f>
        <v>14720.339363106974</v>
      </c>
      <c r="GE3" s="279"/>
      <c r="GF3" s="286"/>
      <c r="GG3" s="279">
        <f>GA7/((GG9)*((GG10*GG12*GG13*(GG5+GG6))+(GG11*GG12)))</f>
        <v>103.19125136315641</v>
      </c>
      <c r="GH3" s="279" t="s">
        <v>384</v>
      </c>
      <c r="GI3" s="286"/>
      <c r="GJ3" s="279">
        <f>FL7/(GJ9*(GJ10*GJ12*GJ13*(GJ5*GJ6))+(GJ11*GJ12))</f>
        <v>1.6057457205852665</v>
      </c>
      <c r="GK3" s="279"/>
      <c r="GL3" s="286"/>
      <c r="GM3" s="279">
        <f>GM15/((GM10*GM12*GM13*(GM5+GM6))+(GM11*GM12))</f>
        <v>5.4794520547945202</v>
      </c>
      <c r="GN3" s="280"/>
      <c r="GO3" s="70"/>
      <c r="GP3" s="71">
        <f>GP7</f>
        <v>5.8186061489116814E-2</v>
      </c>
      <c r="GQ3" s="72" t="s">
        <v>384</v>
      </c>
      <c r="GR3" s="292"/>
      <c r="GS3" s="293">
        <f>GP7/(GS5*GS6*(1/GS7))</f>
        <v>30023.767538243967</v>
      </c>
      <c r="GT3" s="293"/>
      <c r="GU3" s="298"/>
      <c r="GV3" s="293">
        <f>GP7/((GV9)*((GV10*GV12*GV13*(GV5+GV6))+(GV11*GV12)))</f>
        <v>218.215460590361</v>
      </c>
      <c r="GW3" s="293" t="s">
        <v>384</v>
      </c>
      <c r="GX3" s="298"/>
      <c r="GY3" s="293">
        <f>GP7/((GY9*((GY10*GY12*GY13*(GY5+GY6))+(GY11*GY12))))</f>
        <v>218.215460590361</v>
      </c>
      <c r="GZ3" s="293"/>
      <c r="HA3" s="298"/>
      <c r="HB3" s="293">
        <f>GP7/((HB10*HB12*HB13*(HB5+HB6))+(HB11*HB12))</f>
        <v>3.7096628300361367E-2</v>
      </c>
      <c r="HC3" s="300"/>
      <c r="HD3" s="302">
        <f>HE5*HE13*10^-3*(HE14+(HE9/HE10))*((HE11*HE7)/(1-EXP(-HE7*HE11)))</f>
        <v>1.2864589011367369</v>
      </c>
      <c r="HE3" s="303"/>
      <c r="HF3" s="162" t="s">
        <v>38</v>
      </c>
    </row>
    <row r="4" spans="1:214" ht="13.5" thickBot="1" x14ac:dyDescent="0.25">
      <c r="A4" s="436"/>
      <c r="B4" s="437"/>
      <c r="C4" s="438"/>
      <c r="D4" s="102" t="s">
        <v>37</v>
      </c>
      <c r="E4" s="409">
        <f>1/((1/E22)+(1/E23))</f>
        <v>1.0427111879921928E-3</v>
      </c>
      <c r="F4" s="256"/>
      <c r="G4" s="262"/>
      <c r="H4" s="116"/>
      <c r="I4" s="255"/>
      <c r="J4" s="259" t="s">
        <v>0</v>
      </c>
      <c r="K4" s="112" t="s">
        <v>33</v>
      </c>
      <c r="L4" s="113"/>
      <c r="M4" s="124"/>
      <c r="N4" s="125"/>
      <c r="O4" s="169"/>
      <c r="P4" s="254"/>
      <c r="Q4" s="125"/>
      <c r="R4" s="169"/>
      <c r="S4" s="254"/>
      <c r="T4" s="125"/>
      <c r="U4" s="126"/>
      <c r="V4" s="130" t="s">
        <v>36</v>
      </c>
      <c r="W4" s="96">
        <f>1/((1/W16)+(1/W17))</f>
        <v>1.4336917230328848E-3</v>
      </c>
      <c r="X4" s="128"/>
      <c r="Y4" s="251" t="s">
        <v>36</v>
      </c>
      <c r="Z4" s="96">
        <f>1/((1/Z16)+(1/Z17))</f>
        <v>1.2903225507295965E-3</v>
      </c>
      <c r="AA4" s="97"/>
      <c r="AB4" s="239" t="s">
        <v>0</v>
      </c>
      <c r="AC4" s="246" t="s">
        <v>39</v>
      </c>
      <c r="AD4" s="241" t="s">
        <v>40</v>
      </c>
      <c r="AE4" s="246" t="s">
        <v>41</v>
      </c>
      <c r="AF4" s="247" t="s">
        <v>42</v>
      </c>
      <c r="AG4" s="242" t="s">
        <v>42</v>
      </c>
      <c r="AH4" s="166"/>
      <c r="AI4" s="138" t="s">
        <v>32</v>
      </c>
      <c r="AJ4" s="139"/>
      <c r="AK4" s="153"/>
      <c r="AL4" s="235" t="s">
        <v>32</v>
      </c>
      <c r="AM4" s="139"/>
      <c r="AN4" s="153"/>
      <c r="AO4" s="235" t="s">
        <v>32</v>
      </c>
      <c r="AP4" s="139"/>
      <c r="AQ4" s="140"/>
      <c r="AR4" s="146" t="s">
        <v>32</v>
      </c>
      <c r="AS4" s="147"/>
      <c r="AT4" s="154"/>
      <c r="AU4" s="238" t="s">
        <v>32</v>
      </c>
      <c r="AV4" s="147"/>
      <c r="AW4" s="154"/>
      <c r="AX4" s="238" t="s">
        <v>32</v>
      </c>
      <c r="AY4" s="147"/>
      <c r="AZ4" s="148"/>
      <c r="BA4" s="146" t="s">
        <v>32</v>
      </c>
      <c r="BB4" s="147"/>
      <c r="BC4" s="154"/>
      <c r="BD4" s="238" t="s">
        <v>32</v>
      </c>
      <c r="BE4" s="147"/>
      <c r="BF4" s="154"/>
      <c r="BG4" s="238" t="s">
        <v>32</v>
      </c>
      <c r="BH4" s="147"/>
      <c r="BI4" s="148"/>
      <c r="BJ4" s="146" t="s">
        <v>32</v>
      </c>
      <c r="BK4" s="147"/>
      <c r="BL4" s="154"/>
      <c r="BM4" s="238" t="s">
        <v>32</v>
      </c>
      <c r="BN4" s="147"/>
      <c r="BO4" s="154"/>
      <c r="BP4" s="238" t="s">
        <v>32</v>
      </c>
      <c r="BQ4" s="147"/>
      <c r="BR4" s="148"/>
      <c r="BS4" s="232" t="s">
        <v>37</v>
      </c>
      <c r="BT4" s="81">
        <f>1/((1/BT23)+(1/BT24))</f>
        <v>7.0262302316969547E-2</v>
      </c>
      <c r="BU4" s="156"/>
      <c r="BV4" s="232"/>
      <c r="BW4" s="81"/>
      <c r="BX4" s="156"/>
      <c r="BY4" s="232" t="s">
        <v>0</v>
      </c>
      <c r="BZ4" s="81" t="s">
        <v>33</v>
      </c>
      <c r="CA4" s="156"/>
      <c r="CB4" s="232"/>
      <c r="CC4" s="81"/>
      <c r="CD4" s="156"/>
      <c r="CE4" s="232"/>
      <c r="CF4" s="81"/>
      <c r="CG4" s="156"/>
      <c r="CH4" s="232"/>
      <c r="CI4" s="81"/>
      <c r="CJ4" s="82"/>
      <c r="CK4" s="232"/>
      <c r="CL4" s="81"/>
      <c r="CM4" s="82"/>
      <c r="CN4" s="232"/>
      <c r="CO4" s="81"/>
      <c r="CP4" s="82"/>
      <c r="CQ4" s="232"/>
      <c r="CR4" s="81"/>
      <c r="CS4" s="82"/>
      <c r="CT4" s="390" t="s">
        <v>0</v>
      </c>
      <c r="CU4" s="391" t="s">
        <v>9</v>
      </c>
      <c r="CV4" s="392"/>
      <c r="CW4" s="267" t="s">
        <v>37</v>
      </c>
      <c r="CX4" s="177">
        <f>1/((1/CX22)+(1/CX23))</f>
        <v>9.9718741813494536E-4</v>
      </c>
      <c r="CY4" s="264"/>
      <c r="CZ4" s="271"/>
      <c r="DA4" s="184"/>
      <c r="DB4" s="185"/>
      <c r="DC4" s="310"/>
      <c r="DD4" s="311"/>
      <c r="DE4" s="312"/>
      <c r="DF4" s="35"/>
      <c r="DG4" s="36"/>
      <c r="DH4" s="173"/>
      <c r="DI4" s="229"/>
      <c r="DJ4" s="36"/>
      <c r="DK4" s="187"/>
      <c r="DL4" s="229"/>
      <c r="DM4" s="36"/>
      <c r="DN4" s="173"/>
      <c r="DO4" s="229"/>
      <c r="DP4" s="36"/>
      <c r="DQ4" s="228"/>
      <c r="DR4" s="188"/>
      <c r="DS4" s="26"/>
      <c r="DT4" s="171"/>
      <c r="DU4" s="325"/>
      <c r="DV4" s="326"/>
      <c r="DW4" s="327"/>
      <c r="DX4" s="328"/>
      <c r="DY4" s="326"/>
      <c r="DZ4" s="329"/>
      <c r="EA4" s="328"/>
      <c r="EB4" s="326"/>
      <c r="EC4" s="327"/>
      <c r="ED4" s="328"/>
      <c r="EE4" s="326"/>
      <c r="EF4" s="330"/>
      <c r="EG4" s="172"/>
      <c r="EH4" s="21"/>
      <c r="EI4" s="190"/>
      <c r="EJ4" s="342"/>
      <c r="EK4" s="343"/>
      <c r="EL4" s="344"/>
      <c r="EM4" s="345"/>
      <c r="EN4" s="343"/>
      <c r="EO4" s="346"/>
      <c r="EP4" s="345"/>
      <c r="EQ4" s="343"/>
      <c r="ER4" s="344"/>
      <c r="ES4" s="345"/>
      <c r="ET4" s="343"/>
      <c r="EU4" s="347"/>
      <c r="EV4" s="40"/>
      <c r="EW4" s="40"/>
      <c r="EX4" s="40"/>
      <c r="EY4" s="200"/>
      <c r="EZ4" s="201"/>
      <c r="FA4" s="201"/>
      <c r="FB4" s="224"/>
      <c r="FC4" s="201"/>
      <c r="FD4" s="201"/>
      <c r="FE4" s="224"/>
      <c r="FF4" s="201"/>
      <c r="FG4" s="201"/>
      <c r="FH4" s="224"/>
      <c r="FI4" s="201"/>
      <c r="FJ4" s="202"/>
      <c r="FK4" s="50"/>
      <c r="FL4" s="51" t="s">
        <v>384</v>
      </c>
      <c r="FM4" s="52"/>
      <c r="FN4" s="213"/>
      <c r="FO4" s="214"/>
      <c r="FP4" s="214"/>
      <c r="FQ4" s="219"/>
      <c r="FR4" s="214" t="s">
        <v>384</v>
      </c>
      <c r="FS4" s="214"/>
      <c r="FT4" s="219"/>
      <c r="FU4" s="214"/>
      <c r="FV4" s="214"/>
      <c r="FW4" s="219"/>
      <c r="FX4" s="214"/>
      <c r="FY4" s="215"/>
      <c r="FZ4" s="62"/>
      <c r="GA4" s="63"/>
      <c r="GB4" s="64"/>
      <c r="GC4" s="281"/>
      <c r="GD4" s="282"/>
      <c r="GE4" s="282"/>
      <c r="GF4" s="287"/>
      <c r="GG4" s="282"/>
      <c r="GH4" s="282"/>
      <c r="GI4" s="287"/>
      <c r="GJ4" s="282"/>
      <c r="GK4" s="282"/>
      <c r="GL4" s="287"/>
      <c r="GM4" s="282"/>
      <c r="GN4" s="283"/>
      <c r="GO4" s="73"/>
      <c r="GP4" s="74"/>
      <c r="GQ4" s="75"/>
      <c r="GR4" s="294"/>
      <c r="GS4" s="295"/>
      <c r="GT4" s="295"/>
      <c r="GU4" s="299"/>
      <c r="GV4" s="295"/>
      <c r="GW4" s="295"/>
      <c r="GX4" s="299"/>
      <c r="GY4" s="295"/>
      <c r="GZ4" s="295"/>
      <c r="HA4" s="299"/>
      <c r="HB4" s="295"/>
      <c r="HC4" s="301"/>
      <c r="HD4" s="304">
        <f>HE6*HE13*10^-3*(HE14+(HE9/HE10))*((HE11*HE7)/(1-EXP(-HE7*HE11)))</f>
        <v>1.7848630844582289E-4</v>
      </c>
      <c r="HE4" s="305"/>
      <c r="HF4" s="306" t="s">
        <v>43</v>
      </c>
    </row>
    <row r="5" spans="1:214" ht="13.5" thickTop="1" x14ac:dyDescent="0.2">
      <c r="A5" t="s">
        <v>436</v>
      </c>
      <c r="B5" s="410">
        <v>0.155</v>
      </c>
      <c r="C5" t="s">
        <v>448</v>
      </c>
      <c r="D5" t="s">
        <v>458</v>
      </c>
      <c r="E5" s="1">
        <v>1</v>
      </c>
      <c r="F5" t="s">
        <v>459</v>
      </c>
      <c r="G5" t="s">
        <v>458</v>
      </c>
      <c r="H5" s="1">
        <v>1</v>
      </c>
      <c r="I5" t="s">
        <v>459</v>
      </c>
      <c r="J5" t="s">
        <v>458</v>
      </c>
      <c r="K5" s="1">
        <v>1</v>
      </c>
      <c r="L5" t="s">
        <v>459</v>
      </c>
      <c r="M5" t="s">
        <v>458</v>
      </c>
      <c r="N5" s="1">
        <v>1</v>
      </c>
      <c r="O5" t="s">
        <v>459</v>
      </c>
      <c r="P5" t="s">
        <v>458</v>
      </c>
      <c r="Q5" s="1">
        <v>1</v>
      </c>
      <c r="R5" t="s">
        <v>459</v>
      </c>
      <c r="S5" t="s">
        <v>458</v>
      </c>
      <c r="T5" s="1">
        <v>1</v>
      </c>
      <c r="U5" t="s">
        <v>459</v>
      </c>
      <c r="V5" t="s">
        <v>458</v>
      </c>
      <c r="W5" s="1">
        <v>1</v>
      </c>
      <c r="X5" t="s">
        <v>459</v>
      </c>
      <c r="Y5" t="s">
        <v>458</v>
      </c>
      <c r="Z5" s="1">
        <v>1</v>
      </c>
      <c r="AA5" t="s">
        <v>459</v>
      </c>
      <c r="AB5" t="s">
        <v>458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t="s">
        <v>459</v>
      </c>
      <c r="AI5" t="s">
        <v>458</v>
      </c>
      <c r="AJ5" s="1">
        <v>1</v>
      </c>
      <c r="AK5" t="s">
        <v>459</v>
      </c>
      <c r="AL5" t="s">
        <v>458</v>
      </c>
      <c r="AM5" s="1">
        <v>1</v>
      </c>
      <c r="AN5" t="s">
        <v>459</v>
      </c>
      <c r="AO5" t="s">
        <v>458</v>
      </c>
      <c r="AP5" s="1">
        <v>1</v>
      </c>
      <c r="AQ5" t="s">
        <v>459</v>
      </c>
      <c r="AR5" t="s">
        <v>458</v>
      </c>
      <c r="AS5" s="1">
        <v>1</v>
      </c>
      <c r="AT5" t="s">
        <v>459</v>
      </c>
      <c r="AU5" t="s">
        <v>458</v>
      </c>
      <c r="AV5" s="1">
        <v>1</v>
      </c>
      <c r="AW5" t="s">
        <v>459</v>
      </c>
      <c r="AX5" t="s">
        <v>458</v>
      </c>
      <c r="AY5" s="1">
        <v>1</v>
      </c>
      <c r="AZ5" t="s">
        <v>459</v>
      </c>
      <c r="BA5" t="s">
        <v>458</v>
      </c>
      <c r="BB5" s="1">
        <v>1</v>
      </c>
      <c r="BC5" t="s">
        <v>459</v>
      </c>
      <c r="BD5" t="s">
        <v>458</v>
      </c>
      <c r="BE5" s="1">
        <v>1</v>
      </c>
      <c r="BF5" t="s">
        <v>459</v>
      </c>
      <c r="BG5" t="s">
        <v>458</v>
      </c>
      <c r="BH5" s="1">
        <v>1</v>
      </c>
      <c r="BI5" t="s">
        <v>459</v>
      </c>
      <c r="BJ5" t="s">
        <v>458</v>
      </c>
      <c r="BK5" s="1">
        <v>1</v>
      </c>
      <c r="BL5" t="s">
        <v>459</v>
      </c>
      <c r="BM5" t="s">
        <v>458</v>
      </c>
      <c r="BN5" s="1">
        <v>1</v>
      </c>
      <c r="BO5" t="s">
        <v>459</v>
      </c>
      <c r="BP5" t="s">
        <v>458</v>
      </c>
      <c r="BQ5" s="1">
        <v>1</v>
      </c>
      <c r="BR5" t="s">
        <v>459</v>
      </c>
      <c r="BS5" t="s">
        <v>458</v>
      </c>
      <c r="BT5" s="1">
        <v>1</v>
      </c>
      <c r="BU5" t="s">
        <v>459</v>
      </c>
      <c r="BV5" t="s">
        <v>458</v>
      </c>
      <c r="BW5" s="1">
        <v>1</v>
      </c>
      <c r="BX5" t="s">
        <v>459</v>
      </c>
      <c r="BY5" t="s">
        <v>458</v>
      </c>
      <c r="BZ5" s="1">
        <v>1</v>
      </c>
      <c r="CA5" t="s">
        <v>459</v>
      </c>
      <c r="CB5" t="s">
        <v>458</v>
      </c>
      <c r="CC5" s="1">
        <v>1</v>
      </c>
      <c r="CD5" t="s">
        <v>459</v>
      </c>
      <c r="CE5" t="s">
        <v>458</v>
      </c>
      <c r="CF5" s="1">
        <v>1</v>
      </c>
      <c r="CG5" t="s">
        <v>459</v>
      </c>
      <c r="CH5" t="s">
        <v>458</v>
      </c>
      <c r="CI5" s="1">
        <v>1</v>
      </c>
      <c r="CJ5" t="s">
        <v>459</v>
      </c>
      <c r="CK5" t="s">
        <v>458</v>
      </c>
      <c r="CL5" s="1">
        <v>1</v>
      </c>
      <c r="CM5" t="s">
        <v>459</v>
      </c>
      <c r="CN5" t="s">
        <v>395</v>
      </c>
      <c r="CO5" s="1">
        <f>B29</f>
        <v>6.0000000000000001E-3</v>
      </c>
      <c r="CP5" t="s">
        <v>459</v>
      </c>
      <c r="CQ5" t="s">
        <v>395</v>
      </c>
      <c r="CR5" s="1">
        <f>CO5</f>
        <v>6.0000000000000001E-3</v>
      </c>
      <c r="CS5" t="s">
        <v>459</v>
      </c>
      <c r="CT5" t="s">
        <v>458</v>
      </c>
      <c r="CU5" s="1">
        <v>1</v>
      </c>
      <c r="CV5" t="s">
        <v>459</v>
      </c>
      <c r="CW5" t="s">
        <v>458</v>
      </c>
      <c r="CX5" s="1">
        <v>1</v>
      </c>
      <c r="CY5" t="s">
        <v>459</v>
      </c>
      <c r="CZ5" t="s">
        <v>458</v>
      </c>
      <c r="DA5" s="1">
        <v>1</v>
      </c>
      <c r="DB5" t="s">
        <v>459</v>
      </c>
      <c r="DC5" t="s">
        <v>458</v>
      </c>
      <c r="DD5" s="1">
        <v>1</v>
      </c>
      <c r="DE5" t="s">
        <v>459</v>
      </c>
      <c r="DF5" t="s">
        <v>44</v>
      </c>
      <c r="DG5">
        <f>(DG8*DG9*DG10*((1-EXP(-DG11*DG12))))/(DG13*DG11)</f>
        <v>1.7470612337404778E-3</v>
      </c>
      <c r="DH5" t="s">
        <v>45</v>
      </c>
      <c r="DI5" t="s">
        <v>46</v>
      </c>
      <c r="DJ5">
        <f>DJ7</f>
        <v>5.0000000000000002E-5</v>
      </c>
      <c r="DL5" t="s">
        <v>46</v>
      </c>
      <c r="DM5">
        <f>DM7</f>
        <v>5.0000000000000002E-5</v>
      </c>
      <c r="DO5" t="s">
        <v>44</v>
      </c>
      <c r="DP5">
        <f>(DP8*DP9*DP10*((1-EXP(-DP11*DP12))))/(DP13*DP11)</f>
        <v>1.7873205381175516E-3</v>
      </c>
      <c r="DQ5" t="s">
        <v>45</v>
      </c>
      <c r="DR5" t="s">
        <v>458</v>
      </c>
      <c r="DS5" s="1">
        <v>1</v>
      </c>
      <c r="DT5" t="s">
        <v>459</v>
      </c>
      <c r="DU5" t="s">
        <v>317</v>
      </c>
      <c r="DV5" s="1">
        <f>B23</f>
        <v>1.9999999999999999E-6</v>
      </c>
      <c r="DX5" t="s">
        <v>47</v>
      </c>
      <c r="DY5">
        <f>DY7</f>
        <v>6.0000000000000001E-3</v>
      </c>
      <c r="EA5" t="s">
        <v>47</v>
      </c>
      <c r="EB5">
        <f>EB7</f>
        <v>6.0000000000000001E-3</v>
      </c>
      <c r="ED5" t="s">
        <v>47</v>
      </c>
      <c r="EE5">
        <f>EE7</f>
        <v>6.0000000000000001E-3</v>
      </c>
      <c r="EG5" t="s">
        <v>458</v>
      </c>
      <c r="EH5" s="1">
        <v>1</v>
      </c>
      <c r="EI5" t="s">
        <v>459</v>
      </c>
      <c r="EJ5" t="s">
        <v>318</v>
      </c>
      <c r="EK5" s="1">
        <f>B24</f>
        <v>5.0000000000000002E-5</v>
      </c>
      <c r="EM5" t="s">
        <v>47</v>
      </c>
      <c r="EN5">
        <f>EN7</f>
        <v>6.0000000000000001E-3</v>
      </c>
      <c r="EP5" t="s">
        <v>47</v>
      </c>
      <c r="EQ5">
        <f>EQ7</f>
        <v>6.0000000000000001E-3</v>
      </c>
      <c r="ES5" t="s">
        <v>47</v>
      </c>
      <c r="ET5">
        <f>ET7</f>
        <v>6.0000000000000001E-3</v>
      </c>
      <c r="EV5" t="s">
        <v>458</v>
      </c>
      <c r="EW5" s="1">
        <v>1</v>
      </c>
      <c r="EX5" t="s">
        <v>459</v>
      </c>
      <c r="EY5" t="s">
        <v>319</v>
      </c>
      <c r="EZ5" s="406">
        <f>B26</f>
        <v>4.0000000000000001E-3</v>
      </c>
      <c r="FB5" t="s">
        <v>47</v>
      </c>
      <c r="FC5">
        <f>FC7</f>
        <v>5.0000000000000001E-3</v>
      </c>
      <c r="FE5" t="s">
        <v>47</v>
      </c>
      <c r="FF5">
        <f>FF7</f>
        <v>5.0000000000000001E-3</v>
      </c>
      <c r="FH5" t="s">
        <v>47</v>
      </c>
      <c r="FI5">
        <f>FI7</f>
        <v>5.0000000000000001E-3</v>
      </c>
      <c r="FK5" t="s">
        <v>458</v>
      </c>
      <c r="FL5" s="1">
        <v>1</v>
      </c>
      <c r="FM5" t="s">
        <v>459</v>
      </c>
      <c r="FN5" t="s">
        <v>320</v>
      </c>
      <c r="FO5" s="17">
        <v>1</v>
      </c>
      <c r="FQ5" t="s">
        <v>186</v>
      </c>
      <c r="FR5" s="1">
        <f>B22</f>
        <v>30</v>
      </c>
      <c r="FT5" t="s">
        <v>47</v>
      </c>
      <c r="FU5">
        <f>FU7</f>
        <v>0.2</v>
      </c>
      <c r="FW5" t="s">
        <v>47</v>
      </c>
      <c r="FX5">
        <f>FX7</f>
        <v>0.2</v>
      </c>
      <c r="FZ5" t="s">
        <v>458</v>
      </c>
      <c r="GA5" s="1">
        <v>1</v>
      </c>
      <c r="GB5" t="s">
        <v>459</v>
      </c>
      <c r="GC5" t="s">
        <v>321</v>
      </c>
      <c r="GD5" s="406">
        <f>B25</f>
        <v>6.0000000000000001E-3</v>
      </c>
      <c r="GF5" t="s">
        <v>47</v>
      </c>
      <c r="GG5">
        <f>GG7</f>
        <v>5.0000000000000001E-3</v>
      </c>
      <c r="GI5" t="s">
        <v>47</v>
      </c>
      <c r="GJ5">
        <f>GJ7</f>
        <v>5.0000000000000001E-3</v>
      </c>
      <c r="GL5" t="s">
        <v>47</v>
      </c>
      <c r="GM5">
        <f>GM7</f>
        <v>5.0000000000000001E-3</v>
      </c>
      <c r="GO5" t="s">
        <v>458</v>
      </c>
      <c r="GP5" s="1">
        <v>1</v>
      </c>
      <c r="GQ5" t="s">
        <v>459</v>
      </c>
      <c r="GR5" t="s">
        <v>322</v>
      </c>
      <c r="GS5" s="406">
        <f>B27</f>
        <v>1.7000000000000001E-4</v>
      </c>
      <c r="GU5" t="s">
        <v>47</v>
      </c>
      <c r="GV5">
        <f>GV7</f>
        <v>5.0000000000000001E-3</v>
      </c>
      <c r="GX5" t="s">
        <v>47</v>
      </c>
      <c r="GY5">
        <f>GY7</f>
        <v>5.0000000000000001E-3</v>
      </c>
      <c r="HA5" t="s">
        <v>47</v>
      </c>
      <c r="HB5">
        <f>HB7</f>
        <v>5.0000000000000001E-3</v>
      </c>
      <c r="HD5" s="2" t="s">
        <v>48</v>
      </c>
      <c r="HE5">
        <v>15</v>
      </c>
      <c r="HF5" t="s">
        <v>24</v>
      </c>
    </row>
    <row r="6" spans="1:214" x14ac:dyDescent="0.2">
      <c r="A6" t="s">
        <v>437</v>
      </c>
      <c r="B6" s="410">
        <v>7.3999999999999999E-4</v>
      </c>
      <c r="C6" t="s">
        <v>448</v>
      </c>
      <c r="D6" t="s">
        <v>49</v>
      </c>
      <c r="E6" s="1">
        <f>0.693/E7</f>
        <v>1.6041666666666665E-3</v>
      </c>
      <c r="G6" t="s">
        <v>437</v>
      </c>
      <c r="H6" s="1">
        <f>B6</f>
        <v>7.3999999999999999E-4</v>
      </c>
      <c r="I6" t="s">
        <v>448</v>
      </c>
      <c r="J6" t="s">
        <v>438</v>
      </c>
      <c r="K6" s="1">
        <f>B7</f>
        <v>7.3999999999999999E-4</v>
      </c>
      <c r="L6" t="s">
        <v>448</v>
      </c>
      <c r="M6" t="s">
        <v>58</v>
      </c>
      <c r="N6">
        <v>26</v>
      </c>
      <c r="O6" t="s">
        <v>59</v>
      </c>
      <c r="P6" t="s">
        <v>58</v>
      </c>
      <c r="Q6">
        <v>26</v>
      </c>
      <c r="R6" t="s">
        <v>59</v>
      </c>
      <c r="S6" t="s">
        <v>58</v>
      </c>
      <c r="T6">
        <v>26</v>
      </c>
      <c r="U6" t="s">
        <v>59</v>
      </c>
      <c r="V6" t="s">
        <v>49</v>
      </c>
      <c r="W6" s="1">
        <f>0.693/W7</f>
        <v>1.6041666666666665E-3</v>
      </c>
      <c r="Y6" t="s">
        <v>49</v>
      </c>
      <c r="Z6" s="1">
        <f>0.693/Z7</f>
        <v>1.6041666666666665E-3</v>
      </c>
      <c r="AC6">
        <v>1000</v>
      </c>
      <c r="AD6">
        <v>1000</v>
      </c>
      <c r="AE6">
        <v>1000</v>
      </c>
      <c r="AF6">
        <v>1000</v>
      </c>
      <c r="AG6">
        <v>1000</v>
      </c>
      <c r="AH6" t="s">
        <v>50</v>
      </c>
      <c r="AI6" t="s">
        <v>58</v>
      </c>
      <c r="AJ6">
        <v>25</v>
      </c>
      <c r="AK6" t="s">
        <v>59</v>
      </c>
      <c r="AL6" t="s">
        <v>58</v>
      </c>
      <c r="AM6">
        <v>25</v>
      </c>
      <c r="AN6" t="s">
        <v>59</v>
      </c>
      <c r="AO6" t="s">
        <v>58</v>
      </c>
      <c r="AP6">
        <v>25</v>
      </c>
      <c r="AQ6" t="s">
        <v>59</v>
      </c>
      <c r="AR6" t="s">
        <v>58</v>
      </c>
      <c r="AS6">
        <v>25</v>
      </c>
      <c r="AT6" t="s">
        <v>59</v>
      </c>
      <c r="AU6" t="s">
        <v>58</v>
      </c>
      <c r="AV6">
        <v>25</v>
      </c>
      <c r="AW6" t="s">
        <v>59</v>
      </c>
      <c r="AX6" t="s">
        <v>58</v>
      </c>
      <c r="AY6">
        <v>25</v>
      </c>
      <c r="AZ6" t="s">
        <v>59</v>
      </c>
      <c r="BA6" t="s">
        <v>58</v>
      </c>
      <c r="BB6">
        <v>25</v>
      </c>
      <c r="BC6" t="s">
        <v>59</v>
      </c>
      <c r="BD6" t="s">
        <v>58</v>
      </c>
      <c r="BE6">
        <v>25</v>
      </c>
      <c r="BF6" t="s">
        <v>59</v>
      </c>
      <c r="BG6" t="s">
        <v>58</v>
      </c>
      <c r="BH6">
        <v>25</v>
      </c>
      <c r="BI6" t="s">
        <v>59</v>
      </c>
      <c r="BJ6" t="s">
        <v>58</v>
      </c>
      <c r="BK6">
        <v>1</v>
      </c>
      <c r="BL6" t="s">
        <v>59</v>
      </c>
      <c r="BM6" t="s">
        <v>58</v>
      </c>
      <c r="BN6">
        <v>1</v>
      </c>
      <c r="BO6" t="s">
        <v>59</v>
      </c>
      <c r="BP6" t="s">
        <v>58</v>
      </c>
      <c r="BQ6">
        <v>1</v>
      </c>
      <c r="BR6" t="s">
        <v>59</v>
      </c>
      <c r="BS6" t="s">
        <v>49</v>
      </c>
      <c r="BT6" s="1">
        <f>0.693/BT7</f>
        <v>1.6041666666666665E-3</v>
      </c>
      <c r="BV6" t="s">
        <v>437</v>
      </c>
      <c r="BW6" s="1">
        <f>H6</f>
        <v>7.3999999999999999E-4</v>
      </c>
      <c r="BX6" t="s">
        <v>448</v>
      </c>
      <c r="BY6" t="s">
        <v>438</v>
      </c>
      <c r="BZ6" s="1">
        <f>B7</f>
        <v>7.3999999999999999E-4</v>
      </c>
      <c r="CA6" t="s">
        <v>448</v>
      </c>
      <c r="CB6" t="s">
        <v>58</v>
      </c>
      <c r="CC6">
        <v>26</v>
      </c>
      <c r="CD6" t="s">
        <v>59</v>
      </c>
      <c r="CE6" t="s">
        <v>58</v>
      </c>
      <c r="CF6">
        <v>26</v>
      </c>
      <c r="CG6" t="s">
        <v>59</v>
      </c>
      <c r="CH6" t="s">
        <v>58</v>
      </c>
      <c r="CI6">
        <v>26</v>
      </c>
      <c r="CJ6" t="s">
        <v>59</v>
      </c>
      <c r="CK6" t="s">
        <v>447</v>
      </c>
      <c r="CL6" s="1">
        <f>E35</f>
        <v>7.3999999999999999E-4</v>
      </c>
      <c r="CM6" t="s">
        <v>22</v>
      </c>
      <c r="CN6" t="s">
        <v>47</v>
      </c>
      <c r="CO6">
        <f>CO8</f>
        <v>5.0000000000000001E-3</v>
      </c>
      <c r="CQ6" t="s">
        <v>315</v>
      </c>
      <c r="CR6" s="17">
        <v>1</v>
      </c>
      <c r="CS6" t="s">
        <v>56</v>
      </c>
      <c r="CT6" t="s">
        <v>438</v>
      </c>
      <c r="CU6" s="1">
        <f>B7</f>
        <v>7.3999999999999999E-4</v>
      </c>
      <c r="CV6" t="s">
        <v>448</v>
      </c>
      <c r="CW6" t="s">
        <v>49</v>
      </c>
      <c r="CX6" s="1">
        <f>0.693/CX7</f>
        <v>1.6041666666666665E-3</v>
      </c>
      <c r="CZ6" t="s">
        <v>437</v>
      </c>
      <c r="DA6" s="1">
        <f>B6</f>
        <v>7.3999999999999999E-4</v>
      </c>
      <c r="DB6" t="s">
        <v>448</v>
      </c>
      <c r="DC6" t="s">
        <v>447</v>
      </c>
      <c r="DD6" s="1">
        <f>B16</f>
        <v>7.3999999999999999E-4</v>
      </c>
      <c r="DE6" t="s">
        <v>448</v>
      </c>
      <c r="DF6" t="s">
        <v>53</v>
      </c>
      <c r="DG6">
        <f>(DG8*DG9*DG14*((1-EXP(-DG11*DG12))))/(DG13*DG11)</f>
        <v>9.0847184154504852</v>
      </c>
      <c r="DH6" t="s">
        <v>45</v>
      </c>
      <c r="DI6" t="s">
        <v>54</v>
      </c>
      <c r="DJ6">
        <f>DJ8</f>
        <v>0.26</v>
      </c>
      <c r="DL6" t="s">
        <v>54</v>
      </c>
      <c r="DM6">
        <f>DM8</f>
        <v>0.26</v>
      </c>
      <c r="DO6" t="s">
        <v>53</v>
      </c>
      <c r="DP6">
        <f>(DP8*DP9*DP14*((1-EXP(-DP11*DP12))))/(DP13*DP11)</f>
        <v>9.2940667982112686</v>
      </c>
      <c r="DQ6" t="s">
        <v>45</v>
      </c>
      <c r="DR6" t="s">
        <v>447</v>
      </c>
      <c r="DS6" s="1">
        <f>B16</f>
        <v>7.3999999999999999E-4</v>
      </c>
      <c r="DT6" t="s">
        <v>448</v>
      </c>
      <c r="DU6" t="s">
        <v>55</v>
      </c>
      <c r="DV6">
        <v>92</v>
      </c>
      <c r="DW6" t="s">
        <v>56</v>
      </c>
      <c r="DX6" t="s">
        <v>54</v>
      </c>
      <c r="DY6">
        <f>DY8</f>
        <v>0.25</v>
      </c>
      <c r="EA6" t="s">
        <v>54</v>
      </c>
      <c r="EB6">
        <f>EB8</f>
        <v>0.25</v>
      </c>
      <c r="ED6" t="s">
        <v>54</v>
      </c>
      <c r="EE6">
        <f>EE8</f>
        <v>0.25</v>
      </c>
      <c r="EG6" t="s">
        <v>447</v>
      </c>
      <c r="EH6" s="1">
        <f>B16</f>
        <v>7.3999999999999999E-4</v>
      </c>
      <c r="EI6" t="s">
        <v>448</v>
      </c>
      <c r="EJ6" t="s">
        <v>57</v>
      </c>
      <c r="EK6">
        <v>53</v>
      </c>
      <c r="EL6" t="s">
        <v>56</v>
      </c>
      <c r="EM6" t="s">
        <v>54</v>
      </c>
      <c r="EN6">
        <f>EN8</f>
        <v>0.25</v>
      </c>
      <c r="EP6" t="s">
        <v>54</v>
      </c>
      <c r="EQ6">
        <f>EQ8</f>
        <v>0.25</v>
      </c>
      <c r="ES6" t="s">
        <v>54</v>
      </c>
      <c r="ET6">
        <f>ET8</f>
        <v>0.25</v>
      </c>
      <c r="EV6" t="s">
        <v>447</v>
      </c>
      <c r="EW6" s="1">
        <f>B16</f>
        <v>7.3999999999999999E-4</v>
      </c>
      <c r="EX6" t="s">
        <v>448</v>
      </c>
      <c r="EY6" t="s">
        <v>271</v>
      </c>
      <c r="EZ6">
        <v>0.4</v>
      </c>
      <c r="FA6" t="s">
        <v>56</v>
      </c>
      <c r="FB6" t="s">
        <v>54</v>
      </c>
      <c r="FC6">
        <f>FC8</f>
        <v>0.25</v>
      </c>
      <c r="FE6" t="s">
        <v>54</v>
      </c>
      <c r="FF6">
        <f>FF8</f>
        <v>0.25</v>
      </c>
      <c r="FH6" t="s">
        <v>54</v>
      </c>
      <c r="FI6">
        <f>FI8</f>
        <v>0.25</v>
      </c>
      <c r="FK6" t="s">
        <v>447</v>
      </c>
      <c r="FL6" s="1">
        <f>B16</f>
        <v>7.3999999999999999E-4</v>
      </c>
      <c r="FM6" t="s">
        <v>448</v>
      </c>
      <c r="FN6" t="s">
        <v>274</v>
      </c>
      <c r="FO6" s="17">
        <v>1</v>
      </c>
      <c r="FP6" t="s">
        <v>56</v>
      </c>
      <c r="FQ6" t="s">
        <v>296</v>
      </c>
      <c r="FR6" s="1">
        <v>8.1999999999999993</v>
      </c>
      <c r="FT6" t="s">
        <v>54</v>
      </c>
      <c r="FU6">
        <f>FU8</f>
        <v>0.25</v>
      </c>
      <c r="FW6" t="s">
        <v>54</v>
      </c>
      <c r="FX6">
        <f>FX8</f>
        <v>0.25</v>
      </c>
      <c r="FZ6" t="s">
        <v>447</v>
      </c>
      <c r="GA6" s="1">
        <f>B16</f>
        <v>7.3999999999999999E-4</v>
      </c>
      <c r="GB6" t="s">
        <v>448</v>
      </c>
      <c r="GC6" t="s">
        <v>272</v>
      </c>
      <c r="GD6">
        <v>0.4</v>
      </c>
      <c r="GE6" t="s">
        <v>56</v>
      </c>
      <c r="GF6" t="s">
        <v>54</v>
      </c>
      <c r="GG6">
        <f>GG8</f>
        <v>0.25</v>
      </c>
      <c r="GI6" t="s">
        <v>54</v>
      </c>
      <c r="GJ6">
        <f>GJ8</f>
        <v>0.25</v>
      </c>
      <c r="GL6" t="s">
        <v>54</v>
      </c>
      <c r="GM6">
        <f>GM8</f>
        <v>0.25</v>
      </c>
      <c r="GO6" t="s">
        <v>447</v>
      </c>
      <c r="GP6" s="1">
        <f>B16</f>
        <v>7.3999999999999999E-4</v>
      </c>
      <c r="GQ6" t="s">
        <v>448</v>
      </c>
      <c r="GR6" t="s">
        <v>273</v>
      </c>
      <c r="GS6">
        <v>11.4</v>
      </c>
      <c r="GT6" t="s">
        <v>56</v>
      </c>
      <c r="GU6" t="s">
        <v>54</v>
      </c>
      <c r="GV6">
        <f>GV8</f>
        <v>0.25</v>
      </c>
      <c r="GX6" t="s">
        <v>54</v>
      </c>
      <c r="GY6">
        <f>GY8</f>
        <v>0.25</v>
      </c>
      <c r="HA6" t="s">
        <v>54</v>
      </c>
      <c r="HB6">
        <f>HB8</f>
        <v>0.25</v>
      </c>
      <c r="HD6" t="s">
        <v>456</v>
      </c>
      <c r="HE6" s="1">
        <f>H3</f>
        <v>2.0811349855962289E-3</v>
      </c>
      <c r="HF6" t="s">
        <v>24</v>
      </c>
    </row>
    <row r="7" spans="1:214" x14ac:dyDescent="0.2">
      <c r="A7" t="s">
        <v>438</v>
      </c>
      <c r="B7" s="410">
        <v>7.3999999999999999E-4</v>
      </c>
      <c r="C7" t="s">
        <v>448</v>
      </c>
      <c r="D7" t="s">
        <v>411</v>
      </c>
      <c r="E7" s="1">
        <f>B17</f>
        <v>432</v>
      </c>
      <c r="F7" t="s">
        <v>119</v>
      </c>
      <c r="G7" t="s">
        <v>436</v>
      </c>
      <c r="H7" s="1">
        <f>B5</f>
        <v>0.155</v>
      </c>
      <c r="I7" t="s">
        <v>448</v>
      </c>
      <c r="J7" t="s">
        <v>436</v>
      </c>
      <c r="K7" s="1">
        <f>B5</f>
        <v>0.155</v>
      </c>
      <c r="L7" t="s">
        <v>448</v>
      </c>
      <c r="M7" t="s">
        <v>49</v>
      </c>
      <c r="N7" s="1">
        <f>0.693/N8</f>
        <v>1.6041666666666665E-3</v>
      </c>
      <c r="P7" t="s">
        <v>49</v>
      </c>
      <c r="Q7" s="1">
        <f>0.693/Q8</f>
        <v>1.6041666666666665E-3</v>
      </c>
      <c r="S7" t="s">
        <v>49</v>
      </c>
      <c r="T7" s="1">
        <f>0.693/T8</f>
        <v>1.6041666666666665E-3</v>
      </c>
      <c r="V7" t="s">
        <v>411</v>
      </c>
      <c r="W7" s="1">
        <f>B17</f>
        <v>432</v>
      </c>
      <c r="X7" t="s">
        <v>119</v>
      </c>
      <c r="Y7" t="s">
        <v>411</v>
      </c>
      <c r="Z7" s="1">
        <f>B17</f>
        <v>432</v>
      </c>
      <c r="AA7" t="s">
        <v>119</v>
      </c>
      <c r="AI7" t="s">
        <v>49</v>
      </c>
      <c r="AJ7" s="1">
        <f>0.693/AJ8</f>
        <v>1.6041666666666665E-3</v>
      </c>
      <c r="AL7" t="s">
        <v>49</v>
      </c>
      <c r="AM7" s="1">
        <f>0.693/AM8</f>
        <v>1.6041666666666665E-3</v>
      </c>
      <c r="AO7" t="s">
        <v>49</v>
      </c>
      <c r="AP7" s="1">
        <f>0.693/AP8</f>
        <v>1.6041666666666665E-3</v>
      </c>
      <c r="AR7" t="s">
        <v>49</v>
      </c>
      <c r="AS7" s="1">
        <f>0.693/AS8</f>
        <v>1.6041666666666665E-3</v>
      </c>
      <c r="AU7" t="s">
        <v>49</v>
      </c>
      <c r="AV7" s="1">
        <f>0.693/AV8</f>
        <v>1.6041666666666665E-3</v>
      </c>
      <c r="AX7" t="s">
        <v>49</v>
      </c>
      <c r="AY7" s="1">
        <f>0.693/AY8</f>
        <v>1.6041666666666665E-3</v>
      </c>
      <c r="BA7" t="s">
        <v>49</v>
      </c>
      <c r="BB7" s="1">
        <f>0.693/BB8</f>
        <v>1.6041666666666665E-3</v>
      </c>
      <c r="BD7" t="s">
        <v>49</v>
      </c>
      <c r="BE7" s="1">
        <f>0.693/BE8</f>
        <v>1.6041666666666665E-3</v>
      </c>
      <c r="BG7" t="s">
        <v>49</v>
      </c>
      <c r="BH7" s="1">
        <f>0.693/BH8</f>
        <v>1.6041666666666665E-3</v>
      </c>
      <c r="BJ7" t="s">
        <v>49</v>
      </c>
      <c r="BK7" s="1">
        <f>0.693/BK8</f>
        <v>1.6041666666666665E-3</v>
      </c>
      <c r="BM7" t="s">
        <v>49</v>
      </c>
      <c r="BN7" s="1">
        <f>0.693/BN8</f>
        <v>1.6041666666666665E-3</v>
      </c>
      <c r="BP7" t="s">
        <v>49</v>
      </c>
      <c r="BQ7" s="1">
        <f>0.693/BQ8</f>
        <v>1.6041666666666665E-3</v>
      </c>
      <c r="BS7" t="s">
        <v>411</v>
      </c>
      <c r="BT7" s="1">
        <f>B17</f>
        <v>432</v>
      </c>
      <c r="BU7" t="s">
        <v>119</v>
      </c>
      <c r="BV7" t="s">
        <v>436</v>
      </c>
      <c r="BW7" s="1">
        <f>E10</f>
        <v>0.155</v>
      </c>
      <c r="BX7" t="s">
        <v>448</v>
      </c>
      <c r="BY7" t="s">
        <v>436</v>
      </c>
      <c r="BZ7" s="1">
        <f>B5</f>
        <v>0.155</v>
      </c>
      <c r="CA7" t="s">
        <v>448</v>
      </c>
      <c r="CB7" t="s">
        <v>49</v>
      </c>
      <c r="CC7" s="1">
        <f>0.693/CC8</f>
        <v>1.6041666666666665E-3</v>
      </c>
      <c r="CE7" t="s">
        <v>49</v>
      </c>
      <c r="CF7" s="1">
        <f>0.693/CF8</f>
        <v>1.6041666666666665E-3</v>
      </c>
      <c r="CH7" t="s">
        <v>49</v>
      </c>
      <c r="CI7" s="1">
        <f>0.693/CI8</f>
        <v>1.6041666666666665E-3</v>
      </c>
      <c r="CK7" t="s">
        <v>221</v>
      </c>
      <c r="CL7">
        <v>75</v>
      </c>
      <c r="CM7" t="s">
        <v>245</v>
      </c>
      <c r="CN7" t="s">
        <v>54</v>
      </c>
      <c r="CO7">
        <f>CO9</f>
        <v>0.25</v>
      </c>
      <c r="CR7">
        <v>1000</v>
      </c>
      <c r="CS7" t="s">
        <v>213</v>
      </c>
      <c r="CT7" t="s">
        <v>436</v>
      </c>
      <c r="CU7" s="1">
        <f>B5</f>
        <v>0.155</v>
      </c>
      <c r="CV7" t="s">
        <v>448</v>
      </c>
      <c r="CW7" t="s">
        <v>411</v>
      </c>
      <c r="CX7" s="1">
        <f>B17</f>
        <v>432</v>
      </c>
      <c r="CY7" t="s">
        <v>119</v>
      </c>
      <c r="CZ7" t="s">
        <v>436</v>
      </c>
      <c r="DA7" s="1">
        <f>B5</f>
        <v>0.155</v>
      </c>
      <c r="DB7" t="s">
        <v>448</v>
      </c>
      <c r="DC7" t="s">
        <v>451</v>
      </c>
      <c r="DD7" s="16">
        <f>(DD5)/(DD6*(DD8+DD11)*DD21)</f>
        <v>5.0953531652970785E-2</v>
      </c>
      <c r="DE7" t="s">
        <v>22</v>
      </c>
      <c r="DF7" t="s">
        <v>62</v>
      </c>
      <c r="DG7">
        <f>(DG8*DG9*DG15*DG21*((1-EXP(-DG16*DG17))))/(DG18*DG16)</f>
        <v>3.6421488784670224</v>
      </c>
      <c r="DH7" t="s">
        <v>45</v>
      </c>
      <c r="DI7" t="s">
        <v>63</v>
      </c>
      <c r="DJ7">
        <f>B28</f>
        <v>5.0000000000000002E-5</v>
      </c>
      <c r="DL7" t="s">
        <v>63</v>
      </c>
      <c r="DM7">
        <f>B28</f>
        <v>5.0000000000000002E-5</v>
      </c>
      <c r="DO7" t="s">
        <v>62</v>
      </c>
      <c r="DP7">
        <f>(DP8*DP9*DP15*DP21*((1-EXP(-DP16*DP17))))/(DP18*DP16)</f>
        <v>3.6424203206347228</v>
      </c>
      <c r="DQ7" t="s">
        <v>45</v>
      </c>
      <c r="DR7" t="s">
        <v>451</v>
      </c>
      <c r="DS7" s="16">
        <f>DS5/(DS6*DS8*DS17)</f>
        <v>6.8805201122763273E-3</v>
      </c>
      <c r="DT7" t="s">
        <v>22</v>
      </c>
      <c r="DX7" t="s">
        <v>64</v>
      </c>
      <c r="DY7">
        <f>B29</f>
        <v>6.0000000000000001E-3</v>
      </c>
      <c r="EA7" t="s">
        <v>64</v>
      </c>
      <c r="EB7">
        <f>B29</f>
        <v>6.0000000000000001E-3</v>
      </c>
      <c r="ED7" t="s">
        <v>64</v>
      </c>
      <c r="EE7">
        <f>B29</f>
        <v>6.0000000000000001E-3</v>
      </c>
      <c r="EG7" t="s">
        <v>451</v>
      </c>
      <c r="EH7" s="16">
        <f>EH5/(EH6*EH8*EH17)</f>
        <v>3.2490291856286088E-2</v>
      </c>
      <c r="EI7" t="s">
        <v>22</v>
      </c>
      <c r="EM7" t="s">
        <v>64</v>
      </c>
      <c r="EN7">
        <f>B29</f>
        <v>6.0000000000000001E-3</v>
      </c>
      <c r="EP7" t="s">
        <v>64</v>
      </c>
      <c r="EQ7">
        <f>B29</f>
        <v>6.0000000000000001E-3</v>
      </c>
      <c r="ES7" t="s">
        <v>64</v>
      </c>
      <c r="ET7">
        <f>B29</f>
        <v>6.0000000000000001E-3</v>
      </c>
      <c r="EV7" t="s">
        <v>451</v>
      </c>
      <c r="EW7" s="16">
        <f>EW5/(EW6*EW8*EW17)</f>
        <v>0.10832178395591154</v>
      </c>
      <c r="EX7" t="s">
        <v>22</v>
      </c>
      <c r="EZ7">
        <v>1000</v>
      </c>
      <c r="FA7" t="s">
        <v>213</v>
      </c>
      <c r="FB7" t="s">
        <v>64</v>
      </c>
      <c r="FC7">
        <v>5.0000000000000001E-3</v>
      </c>
      <c r="FE7" t="s">
        <v>64</v>
      </c>
      <c r="FF7">
        <v>5.0000000000000001E-3</v>
      </c>
      <c r="FH7" t="s">
        <v>64</v>
      </c>
      <c r="FI7">
        <v>5.0000000000000001E-3</v>
      </c>
      <c r="FK7" t="s">
        <v>451</v>
      </c>
      <c r="FL7" s="16">
        <f>FL5/(FL6*FL8*FL17)</f>
        <v>3.5328814471456742E-2</v>
      </c>
      <c r="FM7" t="s">
        <v>22</v>
      </c>
      <c r="FO7">
        <v>1000</v>
      </c>
      <c r="FP7" t="s">
        <v>213</v>
      </c>
      <c r="FT7" t="s">
        <v>64</v>
      </c>
      <c r="FU7">
        <v>0.2</v>
      </c>
      <c r="FW7" t="s">
        <v>64</v>
      </c>
      <c r="FX7">
        <v>0.2</v>
      </c>
      <c r="FZ7" t="s">
        <v>451</v>
      </c>
      <c r="GA7" s="16">
        <f>GA5/(GA6*GA8*GA17)</f>
        <v>4.5197768097062517E-2</v>
      </c>
      <c r="GB7" t="s">
        <v>22</v>
      </c>
      <c r="GD7">
        <v>1000</v>
      </c>
      <c r="GE7" t="s">
        <v>213</v>
      </c>
      <c r="GF7" t="s">
        <v>64</v>
      </c>
      <c r="GG7">
        <v>5.0000000000000001E-3</v>
      </c>
      <c r="GI7" t="s">
        <v>64</v>
      </c>
      <c r="GJ7">
        <v>5.0000000000000001E-3</v>
      </c>
      <c r="GL7" t="s">
        <v>64</v>
      </c>
      <c r="GM7">
        <v>5.0000000000000001E-3</v>
      </c>
      <c r="GO7" t="s">
        <v>451</v>
      </c>
      <c r="GP7" s="16">
        <f>GP5/(GP6*GP8*GP16)</f>
        <v>5.8186061489116814E-2</v>
      </c>
      <c r="GQ7" t="s">
        <v>22</v>
      </c>
      <c r="GS7">
        <v>1000</v>
      </c>
      <c r="GT7" t="s">
        <v>213</v>
      </c>
      <c r="GU7" t="s">
        <v>64</v>
      </c>
      <c r="GV7">
        <v>5.0000000000000001E-3</v>
      </c>
      <c r="GX7" t="s">
        <v>64</v>
      </c>
      <c r="GY7">
        <v>5.0000000000000001E-3</v>
      </c>
      <c r="HA7" t="s">
        <v>64</v>
      </c>
      <c r="HB7">
        <v>5.0000000000000001E-3</v>
      </c>
      <c r="HD7" t="s">
        <v>49</v>
      </c>
      <c r="HE7" s="1">
        <f>0.693/HE8</f>
        <v>1.6041666666666665E-3</v>
      </c>
    </row>
    <row r="8" spans="1:214" x14ac:dyDescent="0.2">
      <c r="A8" t="s">
        <v>439</v>
      </c>
      <c r="B8" s="410">
        <v>7.3999999999999999E-4</v>
      </c>
      <c r="C8" t="s">
        <v>448</v>
      </c>
      <c r="D8" t="s">
        <v>51</v>
      </c>
      <c r="E8">
        <v>350</v>
      </c>
      <c r="F8" t="s">
        <v>60</v>
      </c>
      <c r="G8" t="s">
        <v>446</v>
      </c>
      <c r="H8" s="1">
        <f>B15</f>
        <v>1.8E-7</v>
      </c>
      <c r="I8" t="s">
        <v>448</v>
      </c>
      <c r="J8" t="s">
        <v>460</v>
      </c>
      <c r="K8" s="1">
        <f>B9</f>
        <v>3.7100000000000001E-2</v>
      </c>
      <c r="L8" t="s">
        <v>449</v>
      </c>
      <c r="M8" t="s">
        <v>411</v>
      </c>
      <c r="N8" s="1">
        <f>B17</f>
        <v>432</v>
      </c>
      <c r="O8" t="s">
        <v>119</v>
      </c>
      <c r="P8" t="s">
        <v>411</v>
      </c>
      <c r="Q8" s="1">
        <f>B17</f>
        <v>432</v>
      </c>
      <c r="R8" t="s">
        <v>119</v>
      </c>
      <c r="S8" t="s">
        <v>411</v>
      </c>
      <c r="T8" s="1">
        <f>B17</f>
        <v>432</v>
      </c>
      <c r="U8" t="s">
        <v>119</v>
      </c>
      <c r="V8" t="s">
        <v>51</v>
      </c>
      <c r="W8">
        <v>225</v>
      </c>
      <c r="X8" t="s">
        <v>60</v>
      </c>
      <c r="Y8" t="s">
        <v>51</v>
      </c>
      <c r="Z8">
        <v>250</v>
      </c>
      <c r="AA8" t="s">
        <v>60</v>
      </c>
      <c r="AB8" t="s">
        <v>66</v>
      </c>
      <c r="AC8">
        <v>250</v>
      </c>
      <c r="AD8">
        <v>250</v>
      </c>
      <c r="AE8">
        <v>225</v>
      </c>
      <c r="AF8">
        <f>AF12*AF13</f>
        <v>250</v>
      </c>
      <c r="AG8">
        <f>AG12*AG13</f>
        <v>250</v>
      </c>
      <c r="AH8" t="s">
        <v>52</v>
      </c>
      <c r="AI8" t="s">
        <v>411</v>
      </c>
      <c r="AJ8" s="1">
        <f>B17</f>
        <v>432</v>
      </c>
      <c r="AK8" t="s">
        <v>119</v>
      </c>
      <c r="AL8" t="s">
        <v>411</v>
      </c>
      <c r="AM8" s="1">
        <f>B17</f>
        <v>432</v>
      </c>
      <c r="AN8" t="s">
        <v>119</v>
      </c>
      <c r="AO8" t="s">
        <v>411</v>
      </c>
      <c r="AP8" s="1">
        <f>B17</f>
        <v>432</v>
      </c>
      <c r="AQ8" t="s">
        <v>119</v>
      </c>
      <c r="AR8" t="s">
        <v>411</v>
      </c>
      <c r="AS8" s="1">
        <f>B17</f>
        <v>432</v>
      </c>
      <c r="AT8" t="s">
        <v>119</v>
      </c>
      <c r="AU8" t="s">
        <v>411</v>
      </c>
      <c r="AV8" s="1">
        <f>B17</f>
        <v>432</v>
      </c>
      <c r="AW8" t="s">
        <v>119</v>
      </c>
      <c r="AX8" t="s">
        <v>411</v>
      </c>
      <c r="AY8" s="1">
        <f>B17</f>
        <v>432</v>
      </c>
      <c r="AZ8" t="s">
        <v>119</v>
      </c>
      <c r="BA8" t="s">
        <v>411</v>
      </c>
      <c r="BB8" s="1">
        <f>B17</f>
        <v>432</v>
      </c>
      <c r="BC8" t="s">
        <v>119</v>
      </c>
      <c r="BD8" t="s">
        <v>411</v>
      </c>
      <c r="BE8" s="1">
        <f>B17</f>
        <v>432</v>
      </c>
      <c r="BF8" t="s">
        <v>119</v>
      </c>
      <c r="BG8" t="s">
        <v>411</v>
      </c>
      <c r="BH8" s="1">
        <f>B17</f>
        <v>432</v>
      </c>
      <c r="BI8" t="s">
        <v>119</v>
      </c>
      <c r="BJ8" t="s">
        <v>411</v>
      </c>
      <c r="BK8" s="1">
        <f>B17</f>
        <v>432</v>
      </c>
      <c r="BL8" t="s">
        <v>119</v>
      </c>
      <c r="BM8" t="s">
        <v>411</v>
      </c>
      <c r="BN8" s="1">
        <f>B17</f>
        <v>432</v>
      </c>
      <c r="BO8" t="s">
        <v>119</v>
      </c>
      <c r="BP8" t="s">
        <v>411</v>
      </c>
      <c r="BQ8" s="1">
        <f>B17</f>
        <v>432</v>
      </c>
      <c r="BR8" t="s">
        <v>119</v>
      </c>
      <c r="BS8" t="s">
        <v>51</v>
      </c>
      <c r="BT8">
        <v>75</v>
      </c>
      <c r="BU8" t="s">
        <v>60</v>
      </c>
      <c r="BV8" t="s">
        <v>446</v>
      </c>
      <c r="BW8" s="1">
        <f>H8</f>
        <v>1.8E-7</v>
      </c>
      <c r="BX8" t="s">
        <v>448</v>
      </c>
      <c r="BY8" t="s">
        <v>460</v>
      </c>
      <c r="BZ8" s="1">
        <f>B9</f>
        <v>3.7100000000000001E-2</v>
      </c>
      <c r="CA8" t="s">
        <v>449</v>
      </c>
      <c r="CB8" t="s">
        <v>411</v>
      </c>
      <c r="CC8" s="1">
        <f>B17</f>
        <v>432</v>
      </c>
      <c r="CD8" t="s">
        <v>119</v>
      </c>
      <c r="CE8" t="s">
        <v>411</v>
      </c>
      <c r="CF8" s="1">
        <f>B17</f>
        <v>432</v>
      </c>
      <c r="CG8" t="s">
        <v>119</v>
      </c>
      <c r="CH8" t="s">
        <v>411</v>
      </c>
      <c r="CI8" s="1">
        <f>B17</f>
        <v>432</v>
      </c>
      <c r="CJ8" t="s">
        <v>119</v>
      </c>
      <c r="CK8" t="s">
        <v>99</v>
      </c>
      <c r="CL8">
        <v>1</v>
      </c>
      <c r="CM8" t="s">
        <v>253</v>
      </c>
      <c r="CN8" t="s">
        <v>64</v>
      </c>
      <c r="CO8" s="1">
        <f>B31</f>
        <v>5.0000000000000001E-3</v>
      </c>
      <c r="CT8" t="s">
        <v>460</v>
      </c>
      <c r="CU8" s="1">
        <f>B9</f>
        <v>3.7100000000000001E-2</v>
      </c>
      <c r="CV8" t="s">
        <v>449</v>
      </c>
      <c r="CW8" t="s">
        <v>51</v>
      </c>
      <c r="CX8">
        <v>350</v>
      </c>
      <c r="CY8" t="s">
        <v>60</v>
      </c>
      <c r="CZ8" t="s">
        <v>461</v>
      </c>
      <c r="DA8" s="14">
        <f>B15</f>
        <v>1.8E-7</v>
      </c>
      <c r="DB8" t="s">
        <v>448</v>
      </c>
      <c r="DC8" t="s">
        <v>469</v>
      </c>
      <c r="DD8" s="427">
        <f>(DD9*DD15*DD16*DD22)+(DD10*DD14*DD17*DD23)</f>
        <v>9024.75</v>
      </c>
      <c r="DE8" t="s">
        <v>213</v>
      </c>
      <c r="DF8" t="s">
        <v>68</v>
      </c>
      <c r="DG8">
        <v>3.62</v>
      </c>
      <c r="DH8" t="s">
        <v>69</v>
      </c>
      <c r="DI8" t="s">
        <v>70</v>
      </c>
      <c r="DJ8">
        <v>0.26</v>
      </c>
      <c r="DL8" t="s">
        <v>70</v>
      </c>
      <c r="DM8">
        <v>0.26</v>
      </c>
      <c r="DO8" t="s">
        <v>68</v>
      </c>
      <c r="DP8">
        <v>3.62</v>
      </c>
      <c r="DQ8" t="s">
        <v>69</v>
      </c>
      <c r="DR8" t="s">
        <v>257</v>
      </c>
      <c r="DS8" s="427">
        <f>(DS11*DS13*DS9*DS19)+(DS12*DS14*DS10*DS20)</f>
        <v>196402.5</v>
      </c>
      <c r="DT8" t="s">
        <v>213</v>
      </c>
      <c r="DX8" t="s">
        <v>70</v>
      </c>
      <c r="DY8">
        <v>0.25</v>
      </c>
      <c r="EA8" t="s">
        <v>70</v>
      </c>
      <c r="EB8">
        <v>0.25</v>
      </c>
      <c r="ED8" t="s">
        <v>70</v>
      </c>
      <c r="EE8">
        <v>0.25</v>
      </c>
      <c r="EG8" t="s">
        <v>258</v>
      </c>
      <c r="EH8" s="427">
        <f>(EH13*EH11*EH9*EH19)+(EH14*EH12*EH10*EH20)</f>
        <v>41592.465753424665</v>
      </c>
      <c r="EI8" t="s">
        <v>213</v>
      </c>
      <c r="EM8" t="s">
        <v>70</v>
      </c>
      <c r="EN8">
        <v>0.25</v>
      </c>
      <c r="EP8" t="s">
        <v>70</v>
      </c>
      <c r="EQ8">
        <v>0.25</v>
      </c>
      <c r="ES8" t="s">
        <v>70</v>
      </c>
      <c r="ET8">
        <v>0.25</v>
      </c>
      <c r="EV8" t="s">
        <v>260</v>
      </c>
      <c r="EW8" s="427">
        <f>(EW11*EW13*EW9*EW19)+(EW12*EW14*EW10*EW20)</f>
        <v>12475.342465753425</v>
      </c>
      <c r="EX8" t="s">
        <v>213</v>
      </c>
      <c r="FB8" t="s">
        <v>290</v>
      </c>
      <c r="FC8">
        <v>0.25</v>
      </c>
      <c r="FE8" t="s">
        <v>290</v>
      </c>
      <c r="FF8">
        <v>0.25</v>
      </c>
      <c r="FH8" t="s">
        <v>290</v>
      </c>
      <c r="FI8">
        <v>0.25</v>
      </c>
      <c r="FK8" t="s">
        <v>263</v>
      </c>
      <c r="FL8" s="402">
        <f>(FL13*FL9*FL11*FL19)+(FL14*FL10*FL12*FL20)</f>
        <v>38250.684931506847</v>
      </c>
      <c r="FM8" t="s">
        <v>213</v>
      </c>
      <c r="FT8" t="s">
        <v>285</v>
      </c>
      <c r="FU8">
        <v>0.25</v>
      </c>
      <c r="FW8" t="s">
        <v>285</v>
      </c>
      <c r="FX8">
        <v>0.25</v>
      </c>
      <c r="FZ8" t="s">
        <v>266</v>
      </c>
      <c r="GA8" s="402">
        <f>(GA11*GA9*GA13*GA19)+(GA14*GA10*GA12*GA20)</f>
        <v>29898.630136986299</v>
      </c>
      <c r="GB8" t="s">
        <v>213</v>
      </c>
      <c r="GF8" t="s">
        <v>279</v>
      </c>
      <c r="GG8">
        <v>0.25</v>
      </c>
      <c r="GI8" t="s">
        <v>279</v>
      </c>
      <c r="GJ8">
        <v>0.25</v>
      </c>
      <c r="GL8" t="s">
        <v>279</v>
      </c>
      <c r="GM8">
        <v>0.25</v>
      </c>
      <c r="GO8" t="s">
        <v>267</v>
      </c>
      <c r="GP8" s="427">
        <f>(GP13*GP9*GP11*GP18)+(GP14*GP10*GP12*GP19)</f>
        <v>23224.657534246577</v>
      </c>
      <c r="GQ8" t="s">
        <v>213</v>
      </c>
      <c r="GU8" t="s">
        <v>284</v>
      </c>
      <c r="GV8">
        <v>0.25</v>
      </c>
      <c r="GX8" t="s">
        <v>284</v>
      </c>
      <c r="GY8">
        <v>0.25</v>
      </c>
      <c r="HA8" t="s">
        <v>284</v>
      </c>
      <c r="HB8">
        <v>0.25</v>
      </c>
      <c r="HD8" t="s">
        <v>411</v>
      </c>
      <c r="HE8" s="1">
        <f>B17</f>
        <v>432</v>
      </c>
      <c r="HF8" t="s">
        <v>119</v>
      </c>
    </row>
    <row r="9" spans="1:214" x14ac:dyDescent="0.2">
      <c r="A9" t="s">
        <v>440</v>
      </c>
      <c r="B9" s="410">
        <v>3.7100000000000001E-2</v>
      </c>
      <c r="C9" t="s">
        <v>449</v>
      </c>
      <c r="D9" t="s">
        <v>65</v>
      </c>
      <c r="E9">
        <v>1</v>
      </c>
      <c r="F9" t="s">
        <v>59</v>
      </c>
      <c r="G9" t="s">
        <v>447</v>
      </c>
      <c r="H9" s="1">
        <f>B16</f>
        <v>7.3999999999999999E-4</v>
      </c>
      <c r="I9" t="s">
        <v>448</v>
      </c>
      <c r="J9" t="s">
        <v>447</v>
      </c>
      <c r="K9" s="1">
        <f>B16</f>
        <v>7.3999999999999999E-4</v>
      </c>
      <c r="L9" t="s">
        <v>448</v>
      </c>
      <c r="M9" t="s">
        <v>51</v>
      </c>
      <c r="N9">
        <v>350</v>
      </c>
      <c r="O9" t="s">
        <v>60</v>
      </c>
      <c r="P9" t="s">
        <v>51</v>
      </c>
      <c r="Q9">
        <v>350</v>
      </c>
      <c r="R9" t="s">
        <v>60</v>
      </c>
      <c r="S9" t="s">
        <v>51</v>
      </c>
      <c r="T9">
        <v>350</v>
      </c>
      <c r="U9" t="s">
        <v>60</v>
      </c>
      <c r="V9" t="s">
        <v>65</v>
      </c>
      <c r="W9">
        <v>1</v>
      </c>
      <c r="X9" t="s">
        <v>59</v>
      </c>
      <c r="Y9" t="s">
        <v>65</v>
      </c>
      <c r="Z9">
        <v>1</v>
      </c>
      <c r="AA9" t="s">
        <v>59</v>
      </c>
      <c r="AB9" t="s">
        <v>438</v>
      </c>
      <c r="AC9" s="1">
        <f>B8</f>
        <v>7.3999999999999999E-4</v>
      </c>
      <c r="AD9" s="1">
        <f>B8</f>
        <v>7.3999999999999999E-4</v>
      </c>
      <c r="AE9" s="1">
        <f>B8</f>
        <v>7.3999999999999999E-4</v>
      </c>
      <c r="AF9" s="1">
        <f>B8</f>
        <v>7.3999999999999999E-4</v>
      </c>
      <c r="AG9" s="1">
        <f>B8</f>
        <v>7.3999999999999999E-4</v>
      </c>
      <c r="AH9" t="s">
        <v>448</v>
      </c>
      <c r="AI9" t="s">
        <v>51</v>
      </c>
      <c r="AJ9">
        <v>250</v>
      </c>
      <c r="AK9" t="s">
        <v>60</v>
      </c>
      <c r="AL9" t="s">
        <v>51</v>
      </c>
      <c r="AM9">
        <v>250</v>
      </c>
      <c r="AN9" t="s">
        <v>60</v>
      </c>
      <c r="AO9" t="s">
        <v>51</v>
      </c>
      <c r="AP9">
        <v>250</v>
      </c>
      <c r="AQ9" t="s">
        <v>60</v>
      </c>
      <c r="AR9" t="s">
        <v>51</v>
      </c>
      <c r="AS9">
        <v>225</v>
      </c>
      <c r="AT9" t="s">
        <v>60</v>
      </c>
      <c r="AU9" t="s">
        <v>51</v>
      </c>
      <c r="AV9">
        <v>225</v>
      </c>
      <c r="AW9" t="s">
        <v>60</v>
      </c>
      <c r="AX9" t="s">
        <v>51</v>
      </c>
      <c r="AY9">
        <v>225</v>
      </c>
      <c r="AZ9" t="s">
        <v>60</v>
      </c>
      <c r="BA9" t="s">
        <v>51</v>
      </c>
      <c r="BB9">
        <v>250</v>
      </c>
      <c r="BC9" t="s">
        <v>60</v>
      </c>
      <c r="BD9" t="s">
        <v>51</v>
      </c>
      <c r="BE9">
        <v>250</v>
      </c>
      <c r="BF9" t="s">
        <v>60</v>
      </c>
      <c r="BG9" t="s">
        <v>51</v>
      </c>
      <c r="BH9">
        <v>250</v>
      </c>
      <c r="BI9" t="s">
        <v>60</v>
      </c>
      <c r="BJ9" t="s">
        <v>51</v>
      </c>
      <c r="BK9">
        <f>BK10*BK11</f>
        <v>250</v>
      </c>
      <c r="BL9" t="s">
        <v>60</v>
      </c>
      <c r="BM9" t="s">
        <v>51</v>
      </c>
      <c r="BN9">
        <f>BN10*BN11</f>
        <v>250</v>
      </c>
      <c r="BO9" t="s">
        <v>60</v>
      </c>
      <c r="BP9" t="s">
        <v>51</v>
      </c>
      <c r="BQ9">
        <f>BQ10*BQ11</f>
        <v>250</v>
      </c>
      <c r="BR9" t="s">
        <v>60</v>
      </c>
      <c r="BS9" t="s">
        <v>65</v>
      </c>
      <c r="BT9">
        <v>1</v>
      </c>
      <c r="BU9" t="s">
        <v>59</v>
      </c>
      <c r="BV9" t="s">
        <v>447</v>
      </c>
      <c r="BW9" s="1">
        <f>E35</f>
        <v>7.3999999999999999E-4</v>
      </c>
      <c r="BX9" t="s">
        <v>448</v>
      </c>
      <c r="BY9" t="s">
        <v>148</v>
      </c>
      <c r="BZ9" s="1">
        <f>B18</f>
        <v>1359344473.5814338</v>
      </c>
      <c r="CA9" t="s">
        <v>149</v>
      </c>
      <c r="CB9" t="s">
        <v>51</v>
      </c>
      <c r="CC9">
        <v>75</v>
      </c>
      <c r="CD9" t="s">
        <v>60</v>
      </c>
      <c r="CE9" t="s">
        <v>51</v>
      </c>
      <c r="CF9">
        <v>75</v>
      </c>
      <c r="CG9" t="s">
        <v>60</v>
      </c>
      <c r="CH9" t="s">
        <v>51</v>
      </c>
      <c r="CI9">
        <v>75</v>
      </c>
      <c r="CJ9" t="s">
        <v>60</v>
      </c>
      <c r="CK9" t="s">
        <v>300</v>
      </c>
      <c r="CL9" s="17">
        <v>1</v>
      </c>
      <c r="CM9" t="s">
        <v>380</v>
      </c>
      <c r="CN9" t="s">
        <v>310</v>
      </c>
      <c r="CO9" s="17">
        <v>0.25</v>
      </c>
      <c r="CT9" t="s">
        <v>447</v>
      </c>
      <c r="CU9" s="1">
        <f>B16</f>
        <v>7.3999999999999999E-4</v>
      </c>
      <c r="CV9" t="s">
        <v>448</v>
      </c>
      <c r="CW9" t="s">
        <v>65</v>
      </c>
      <c r="CX9">
        <v>1</v>
      </c>
      <c r="CY9" t="s">
        <v>59</v>
      </c>
      <c r="CZ9" t="s">
        <v>447</v>
      </c>
      <c r="DA9" s="1">
        <f>B16</f>
        <v>7.3999999999999999E-4</v>
      </c>
      <c r="DB9" t="s">
        <v>448</v>
      </c>
      <c r="DC9" t="s">
        <v>467</v>
      </c>
      <c r="DD9" s="1">
        <f>B42</f>
        <v>10.4</v>
      </c>
      <c r="DE9" t="s">
        <v>380</v>
      </c>
      <c r="DF9" t="s">
        <v>74</v>
      </c>
      <c r="DG9">
        <v>0.25</v>
      </c>
      <c r="DH9" t="s">
        <v>75</v>
      </c>
      <c r="DO9" t="s">
        <v>74</v>
      </c>
      <c r="DP9">
        <v>0.25</v>
      </c>
      <c r="DQ9" t="s">
        <v>75</v>
      </c>
      <c r="DR9" t="s">
        <v>254</v>
      </c>
      <c r="DS9">
        <f>B45</f>
        <v>256</v>
      </c>
      <c r="DT9" t="s">
        <v>380</v>
      </c>
      <c r="DX9" t="s">
        <v>317</v>
      </c>
      <c r="DY9" s="1">
        <f>B23</f>
        <v>1.9999999999999999E-6</v>
      </c>
      <c r="EA9" t="s">
        <v>317</v>
      </c>
      <c r="EB9" s="1">
        <f>B23</f>
        <v>1.9999999999999999E-6</v>
      </c>
      <c r="ED9" t="s">
        <v>317</v>
      </c>
      <c r="EE9" s="1">
        <f>B23</f>
        <v>1.9999999999999999E-6</v>
      </c>
      <c r="EG9" t="s">
        <v>91</v>
      </c>
      <c r="EH9">
        <f>4.7*1000/365</f>
        <v>12.876712328767123</v>
      </c>
      <c r="EI9" t="s">
        <v>380</v>
      </c>
      <c r="EM9" t="s">
        <v>318</v>
      </c>
      <c r="EN9" s="1">
        <f>B24</f>
        <v>5.0000000000000002E-5</v>
      </c>
      <c r="EP9" t="s">
        <v>318</v>
      </c>
      <c r="EQ9" s="1">
        <f>B24</f>
        <v>5.0000000000000002E-5</v>
      </c>
      <c r="ES9" t="s">
        <v>318</v>
      </c>
      <c r="ET9" s="1">
        <f>B24</f>
        <v>5.0000000000000002E-5</v>
      </c>
      <c r="EV9" t="s">
        <v>261</v>
      </c>
      <c r="EW9">
        <f>2.3*1000/365</f>
        <v>6.3013698630136989</v>
      </c>
      <c r="EX9" t="s">
        <v>380</v>
      </c>
      <c r="FB9" t="s">
        <v>319</v>
      </c>
      <c r="FC9" s="406">
        <f>B26</f>
        <v>4.0000000000000001E-3</v>
      </c>
      <c r="FE9" t="s">
        <v>319</v>
      </c>
      <c r="FF9" s="406">
        <f>B26</f>
        <v>4.0000000000000001E-3</v>
      </c>
      <c r="FH9" t="s">
        <v>319</v>
      </c>
      <c r="FI9" s="406">
        <f>B26</f>
        <v>4.0000000000000001E-3</v>
      </c>
      <c r="FK9" t="s">
        <v>235</v>
      </c>
      <c r="FL9">
        <f>6.4*1000/365</f>
        <v>17.534246575342465</v>
      </c>
      <c r="FM9" t="s">
        <v>380</v>
      </c>
      <c r="FT9" t="s">
        <v>320</v>
      </c>
      <c r="FU9" s="17">
        <v>1</v>
      </c>
      <c r="FW9" t="s">
        <v>320</v>
      </c>
      <c r="FX9" s="17">
        <v>1</v>
      </c>
      <c r="FZ9" t="s">
        <v>233</v>
      </c>
      <c r="GA9" s="15">
        <f>5*1000/365</f>
        <v>13.698630136986301</v>
      </c>
      <c r="GB9" t="s">
        <v>380</v>
      </c>
      <c r="GF9" t="s">
        <v>321</v>
      </c>
      <c r="GG9" s="406">
        <f>B25</f>
        <v>6.0000000000000001E-3</v>
      </c>
      <c r="GI9" t="s">
        <v>321</v>
      </c>
      <c r="GJ9" s="406">
        <f>B25</f>
        <v>6.0000000000000001E-3</v>
      </c>
      <c r="GL9" t="s">
        <v>321</v>
      </c>
      <c r="GM9" s="406">
        <f>B25</f>
        <v>6.0000000000000001E-3</v>
      </c>
      <c r="GO9" t="s">
        <v>269</v>
      </c>
      <c r="GP9">
        <f>4.5*1000/365</f>
        <v>12.328767123287671</v>
      </c>
      <c r="GQ9" t="s">
        <v>380</v>
      </c>
      <c r="GU9" t="s">
        <v>322</v>
      </c>
      <c r="GV9" s="406">
        <f>B27</f>
        <v>1.7000000000000001E-4</v>
      </c>
      <c r="GX9" t="s">
        <v>322</v>
      </c>
      <c r="GY9" s="406">
        <f>B27</f>
        <v>1.7000000000000001E-4</v>
      </c>
      <c r="HA9" t="s">
        <v>322</v>
      </c>
      <c r="HB9" s="406">
        <f>B27</f>
        <v>1.7000000000000001E-4</v>
      </c>
      <c r="HD9" t="s">
        <v>71</v>
      </c>
      <c r="HE9">
        <v>0.3</v>
      </c>
    </row>
    <row r="10" spans="1:214" x14ac:dyDescent="0.2">
      <c r="A10" t="s">
        <v>441</v>
      </c>
      <c r="B10" s="410">
        <v>2.7199999999999998E-2</v>
      </c>
      <c r="C10" t="s">
        <v>450</v>
      </c>
      <c r="D10" t="s">
        <v>436</v>
      </c>
      <c r="E10" s="1">
        <f>B5</f>
        <v>0.155</v>
      </c>
      <c r="F10" t="s">
        <v>448</v>
      </c>
      <c r="G10" t="s">
        <v>451</v>
      </c>
      <c r="H10" s="1">
        <f>H5/(H6*H15)</f>
        <v>1.8358833282022748</v>
      </c>
      <c r="I10" t="s">
        <v>21</v>
      </c>
      <c r="J10" t="s">
        <v>148</v>
      </c>
      <c r="K10" s="1">
        <f>B18</f>
        <v>1359344473.5814338</v>
      </c>
      <c r="L10" t="s">
        <v>149</v>
      </c>
      <c r="M10" t="s">
        <v>65</v>
      </c>
      <c r="N10">
        <v>1</v>
      </c>
      <c r="O10" t="s">
        <v>59</v>
      </c>
      <c r="P10" t="s">
        <v>65</v>
      </c>
      <c r="Q10">
        <v>1</v>
      </c>
      <c r="R10" t="s">
        <v>59</v>
      </c>
      <c r="S10" t="s">
        <v>65</v>
      </c>
      <c r="T10">
        <v>1</v>
      </c>
      <c r="U10" t="s">
        <v>59</v>
      </c>
      <c r="V10" t="s">
        <v>436</v>
      </c>
      <c r="W10" s="1">
        <f>B5</f>
        <v>0.155</v>
      </c>
      <c r="X10" t="s">
        <v>72</v>
      </c>
      <c r="Y10" t="s">
        <v>436</v>
      </c>
      <c r="Z10" s="1">
        <f>B5</f>
        <v>0.155</v>
      </c>
      <c r="AA10" t="s">
        <v>72</v>
      </c>
      <c r="AI10" t="s">
        <v>65</v>
      </c>
      <c r="AJ10">
        <v>1</v>
      </c>
      <c r="AK10" t="s">
        <v>59</v>
      </c>
      <c r="AL10" t="s">
        <v>65</v>
      </c>
      <c r="AM10">
        <v>1</v>
      </c>
      <c r="AN10" t="s">
        <v>59</v>
      </c>
      <c r="AO10" t="s">
        <v>65</v>
      </c>
      <c r="AP10">
        <v>1</v>
      </c>
      <c r="AQ10" t="s">
        <v>59</v>
      </c>
      <c r="AR10" t="s">
        <v>65</v>
      </c>
      <c r="AS10">
        <v>1</v>
      </c>
      <c r="AT10" t="s">
        <v>59</v>
      </c>
      <c r="AU10" t="s">
        <v>65</v>
      </c>
      <c r="AV10">
        <v>1</v>
      </c>
      <c r="AW10" t="s">
        <v>59</v>
      </c>
      <c r="AX10" t="s">
        <v>65</v>
      </c>
      <c r="AY10">
        <v>1</v>
      </c>
      <c r="AZ10" t="s">
        <v>59</v>
      </c>
      <c r="BA10" t="s">
        <v>65</v>
      </c>
      <c r="BB10">
        <v>1</v>
      </c>
      <c r="BC10" t="s">
        <v>59</v>
      </c>
      <c r="BD10" t="s">
        <v>65</v>
      </c>
      <c r="BE10">
        <v>1</v>
      </c>
      <c r="BF10" t="s">
        <v>59</v>
      </c>
      <c r="BG10" t="s">
        <v>65</v>
      </c>
      <c r="BH10">
        <v>1</v>
      </c>
      <c r="BI10" t="s">
        <v>59</v>
      </c>
      <c r="BJ10" t="s">
        <v>378</v>
      </c>
      <c r="BK10">
        <v>50</v>
      </c>
      <c r="BL10" t="s">
        <v>389</v>
      </c>
      <c r="BM10" t="s">
        <v>378</v>
      </c>
      <c r="BN10">
        <v>50</v>
      </c>
      <c r="BO10" t="s">
        <v>389</v>
      </c>
      <c r="BP10" t="s">
        <v>378</v>
      </c>
      <c r="BQ10">
        <v>50</v>
      </c>
      <c r="BR10" t="s">
        <v>389</v>
      </c>
      <c r="BS10" t="s">
        <v>436</v>
      </c>
      <c r="BT10" s="1">
        <f>E10</f>
        <v>0.155</v>
      </c>
      <c r="BU10" t="s">
        <v>448</v>
      </c>
      <c r="BV10" t="s">
        <v>451</v>
      </c>
      <c r="BW10" s="1">
        <f>BW5/(BW6*BW13)</f>
        <v>300.30030030030031</v>
      </c>
      <c r="BX10" t="s">
        <v>21</v>
      </c>
      <c r="BY10" t="s">
        <v>37</v>
      </c>
      <c r="BZ10" s="1">
        <f>(BZ33*BZ11)/(1-EXP(-BZ11*BZ33))</f>
        <v>1.0209991278862993</v>
      </c>
      <c r="CB10" t="s">
        <v>65</v>
      </c>
      <c r="CC10">
        <v>1</v>
      </c>
      <c r="CD10" t="s">
        <v>59</v>
      </c>
      <c r="CE10" t="s">
        <v>65</v>
      </c>
      <c r="CF10">
        <v>1</v>
      </c>
      <c r="CG10" t="s">
        <v>59</v>
      </c>
      <c r="CH10" t="s">
        <v>65</v>
      </c>
      <c r="CI10">
        <v>1</v>
      </c>
      <c r="CJ10" t="s">
        <v>59</v>
      </c>
      <c r="CN10" t="s">
        <v>308</v>
      </c>
      <c r="CO10" s="17">
        <v>1</v>
      </c>
      <c r="CP10" t="s">
        <v>431</v>
      </c>
      <c r="CT10" t="s">
        <v>148</v>
      </c>
      <c r="CU10" s="1">
        <f>B18</f>
        <v>1359344473.5814338</v>
      </c>
      <c r="CV10" t="s">
        <v>149</v>
      </c>
      <c r="CW10" t="s">
        <v>436</v>
      </c>
      <c r="CX10" s="1">
        <f>B5</f>
        <v>0.155</v>
      </c>
      <c r="CY10" t="s">
        <v>448</v>
      </c>
      <c r="CZ10" t="s">
        <v>37</v>
      </c>
      <c r="DA10" s="1">
        <f>(DA39*DA11)/(1-EXP(-DA11*DA39))</f>
        <v>1.0008022977791844</v>
      </c>
      <c r="DC10" t="s">
        <v>468</v>
      </c>
      <c r="DD10" s="1">
        <f>B43</f>
        <v>28.5</v>
      </c>
      <c r="DE10" t="s">
        <v>380</v>
      </c>
      <c r="DF10" t="s">
        <v>63</v>
      </c>
      <c r="DG10">
        <f>B28</f>
        <v>5.0000000000000002E-5</v>
      </c>
      <c r="DO10" t="s">
        <v>63</v>
      </c>
      <c r="DP10">
        <f>B28</f>
        <v>5.0000000000000002E-5</v>
      </c>
      <c r="DR10" t="s">
        <v>255</v>
      </c>
      <c r="DS10">
        <f>B46</f>
        <v>615</v>
      </c>
      <c r="DT10" t="s">
        <v>380</v>
      </c>
      <c r="DX10" t="s">
        <v>84</v>
      </c>
      <c r="DY10">
        <v>16.899999999999999</v>
      </c>
      <c r="EA10" t="s">
        <v>84</v>
      </c>
      <c r="EB10">
        <v>16.899999999999999</v>
      </c>
      <c r="ED10" t="s">
        <v>84</v>
      </c>
      <c r="EE10">
        <v>16.899999999999999</v>
      </c>
      <c r="EG10" t="s">
        <v>109</v>
      </c>
      <c r="EH10">
        <f>50.2*1000/365</f>
        <v>137.53424657534248</v>
      </c>
      <c r="EI10" t="s">
        <v>380</v>
      </c>
      <c r="EM10" t="s">
        <v>85</v>
      </c>
      <c r="EN10">
        <v>11.77</v>
      </c>
      <c r="EP10" t="s">
        <v>85</v>
      </c>
      <c r="EQ10">
        <v>11.77</v>
      </c>
      <c r="ES10" t="s">
        <v>85</v>
      </c>
      <c r="ET10">
        <v>11.77</v>
      </c>
      <c r="EV10" t="s">
        <v>262</v>
      </c>
      <c r="EW10">
        <f>14.9*1000/365</f>
        <v>40.821917808219176</v>
      </c>
      <c r="EX10" t="s">
        <v>380</v>
      </c>
      <c r="FB10" t="s">
        <v>292</v>
      </c>
      <c r="FC10">
        <v>0.2</v>
      </c>
      <c r="FE10" t="s">
        <v>292</v>
      </c>
      <c r="FF10">
        <v>0.2</v>
      </c>
      <c r="FH10" t="s">
        <v>292</v>
      </c>
      <c r="FI10">
        <v>0.2</v>
      </c>
      <c r="FK10" t="s">
        <v>236</v>
      </c>
      <c r="FL10">
        <f>45.8*1000/365</f>
        <v>125.47945205479452</v>
      </c>
      <c r="FM10" t="s">
        <v>380</v>
      </c>
      <c r="FT10" t="s">
        <v>289</v>
      </c>
      <c r="FU10" s="17">
        <v>1</v>
      </c>
      <c r="FW10" t="s">
        <v>289</v>
      </c>
      <c r="FX10" s="17">
        <v>1</v>
      </c>
      <c r="FZ10" t="s">
        <v>234</v>
      </c>
      <c r="GA10">
        <f>35.8*1000/365</f>
        <v>98.082191780821915</v>
      </c>
      <c r="GB10" t="s">
        <v>380</v>
      </c>
      <c r="GF10" t="s">
        <v>275</v>
      </c>
      <c r="GG10">
        <v>0.2</v>
      </c>
      <c r="GI10" t="s">
        <v>275</v>
      </c>
      <c r="GJ10">
        <v>0.2</v>
      </c>
      <c r="GL10" t="s">
        <v>275</v>
      </c>
      <c r="GM10">
        <v>0.2</v>
      </c>
      <c r="GO10" t="s">
        <v>268</v>
      </c>
      <c r="GP10">
        <f>27.7*1000/365</f>
        <v>75.890410958904113</v>
      </c>
      <c r="GQ10" t="s">
        <v>380</v>
      </c>
      <c r="GU10" t="s">
        <v>280</v>
      </c>
      <c r="GV10">
        <v>4.7</v>
      </c>
      <c r="GX10" t="s">
        <v>280</v>
      </c>
      <c r="GY10">
        <v>4.7</v>
      </c>
      <c r="HA10" t="s">
        <v>280</v>
      </c>
      <c r="HB10">
        <v>4.7</v>
      </c>
      <c r="HD10" t="s">
        <v>76</v>
      </c>
      <c r="HE10" s="1">
        <v>1.5</v>
      </c>
    </row>
    <row r="11" spans="1:214" x14ac:dyDescent="0.2">
      <c r="A11" t="s">
        <v>442</v>
      </c>
      <c r="B11" s="410">
        <v>1.84E-2</v>
      </c>
      <c r="C11" t="s">
        <v>449</v>
      </c>
      <c r="D11" t="s">
        <v>77</v>
      </c>
      <c r="E11" s="427">
        <f>((E14/E15)*E24*E12*E16*E26)+((E14/E15)*E25*E13*E17*E27)</f>
        <v>6192.3076923076924</v>
      </c>
      <c r="F11" t="s">
        <v>407</v>
      </c>
      <c r="G11" t="s">
        <v>452</v>
      </c>
      <c r="H11" s="1">
        <f>H5/(H7*H16*H28)</f>
        <v>2.0837507513524344E-3</v>
      </c>
      <c r="I11" t="s">
        <v>21</v>
      </c>
      <c r="J11" t="s">
        <v>37</v>
      </c>
      <c r="K11" s="1">
        <f>(K45*K12)/(1-EXP(-K12*K45))</f>
        <v>1.0209991278862993</v>
      </c>
      <c r="M11" t="s">
        <v>462</v>
      </c>
      <c r="N11">
        <v>0.4</v>
      </c>
      <c r="P11" t="s">
        <v>462</v>
      </c>
      <c r="Q11">
        <v>0.4</v>
      </c>
      <c r="S11" t="s">
        <v>462</v>
      </c>
      <c r="T11">
        <v>0.4</v>
      </c>
      <c r="V11" t="s">
        <v>79</v>
      </c>
      <c r="W11">
        <v>8</v>
      </c>
      <c r="X11" t="s">
        <v>80</v>
      </c>
      <c r="Y11" t="s">
        <v>79</v>
      </c>
      <c r="Z11">
        <v>8</v>
      </c>
      <c r="AA11" t="s">
        <v>80</v>
      </c>
      <c r="AB11" t="s">
        <v>65</v>
      </c>
      <c r="AC11">
        <v>1</v>
      </c>
      <c r="AD11">
        <v>1</v>
      </c>
      <c r="AE11">
        <v>1</v>
      </c>
      <c r="AF11">
        <v>1</v>
      </c>
      <c r="AG11">
        <v>1</v>
      </c>
      <c r="AH11" t="s">
        <v>88</v>
      </c>
      <c r="AI11" t="s">
        <v>462</v>
      </c>
      <c r="AJ11">
        <v>0.4</v>
      </c>
      <c r="AL11" t="s">
        <v>462</v>
      </c>
      <c r="AM11">
        <v>0.4</v>
      </c>
      <c r="AO11" t="s">
        <v>462</v>
      </c>
      <c r="AP11">
        <v>0.4</v>
      </c>
      <c r="AR11" t="s">
        <v>462</v>
      </c>
      <c r="AS11">
        <v>0.4</v>
      </c>
      <c r="AU11" t="s">
        <v>462</v>
      </c>
      <c r="AV11">
        <v>0.4</v>
      </c>
      <c r="AX11" t="s">
        <v>462</v>
      </c>
      <c r="AY11">
        <v>0.4</v>
      </c>
      <c r="BA11" t="s">
        <v>462</v>
      </c>
      <c r="BB11">
        <v>0.4</v>
      </c>
      <c r="BD11" t="s">
        <v>462</v>
      </c>
      <c r="BE11">
        <v>0.4</v>
      </c>
      <c r="BG11" t="s">
        <v>462</v>
      </c>
      <c r="BH11">
        <v>0.4</v>
      </c>
      <c r="BJ11" t="s">
        <v>377</v>
      </c>
      <c r="BK11">
        <v>5</v>
      </c>
      <c r="BL11" t="s">
        <v>390</v>
      </c>
      <c r="BM11" t="s">
        <v>377</v>
      </c>
      <c r="BN11">
        <v>5</v>
      </c>
      <c r="BO11" t="s">
        <v>390</v>
      </c>
      <c r="BP11" t="s">
        <v>377</v>
      </c>
      <c r="BQ11">
        <v>5</v>
      </c>
      <c r="BR11" t="s">
        <v>390</v>
      </c>
      <c r="BS11" t="s">
        <v>77</v>
      </c>
      <c r="BT11" s="427">
        <f>(BT25*BT17*BT14*(1/24)*BT12*BT29)+(BT26*BT18*BT15*(1/24)*BT13*BT30)</f>
        <v>93.75</v>
      </c>
      <c r="BU11" t="s">
        <v>407</v>
      </c>
      <c r="BV11" t="s">
        <v>452</v>
      </c>
      <c r="BW11" s="1"/>
      <c r="BX11" t="s">
        <v>21</v>
      </c>
      <c r="BY11" t="s">
        <v>49</v>
      </c>
      <c r="BZ11" s="1">
        <f>0.693/BZ12</f>
        <v>1.6041666666666665E-3</v>
      </c>
      <c r="CB11" t="s">
        <v>463</v>
      </c>
      <c r="CC11">
        <v>2.41E-4</v>
      </c>
      <c r="CE11" t="s">
        <v>463</v>
      </c>
      <c r="CF11">
        <v>1.17E-4</v>
      </c>
      <c r="CH11" t="s">
        <v>463</v>
      </c>
      <c r="CI11">
        <v>2.2599999999999999E-4</v>
      </c>
      <c r="CN11" t="s">
        <v>305</v>
      </c>
      <c r="CO11" s="17">
        <v>1</v>
      </c>
      <c r="CP11" t="s">
        <v>431</v>
      </c>
      <c r="CT11" t="s">
        <v>37</v>
      </c>
      <c r="CU11" s="1">
        <f>(CU45*CU12)/(1-EXP(-CU12*CU45))</f>
        <v>1.0324264232162026</v>
      </c>
      <c r="CW11" t="s">
        <v>77</v>
      </c>
      <c r="CX11" s="427">
        <f>((CX15/24)*CX24*CX12*CX16*CX26)+((CX14/24)*CX25*CX13*CX17*CX27)</f>
        <v>6475</v>
      </c>
      <c r="CY11" t="s">
        <v>407</v>
      </c>
      <c r="CZ11" t="s">
        <v>49</v>
      </c>
      <c r="DA11" s="1">
        <f>0.693/DA12</f>
        <v>1.6041666666666665E-3</v>
      </c>
      <c r="DC11" t="s">
        <v>470</v>
      </c>
      <c r="DD11" s="427">
        <f>(DD12*DD15*DD16*DD22)+(DD13*DD14*DD17*DD23)</f>
        <v>17496.5</v>
      </c>
      <c r="DE11" t="s">
        <v>213</v>
      </c>
      <c r="DF11" t="s">
        <v>92</v>
      </c>
      <c r="DG11">
        <f>DG19+DG20</f>
        <v>3.1394977168949772E-5</v>
      </c>
      <c r="DO11" t="s">
        <v>92</v>
      </c>
      <c r="DP11">
        <f>DP19+DP20</f>
        <v>2.6999999999999999E-5</v>
      </c>
      <c r="DR11" t="s">
        <v>67</v>
      </c>
      <c r="DS11">
        <v>350</v>
      </c>
      <c r="DT11" t="s">
        <v>52</v>
      </c>
      <c r="DX11" t="s">
        <v>93</v>
      </c>
      <c r="DY11">
        <v>0.41</v>
      </c>
      <c r="EA11" t="s">
        <v>93</v>
      </c>
      <c r="EB11">
        <v>0.41</v>
      </c>
      <c r="ED11" t="s">
        <v>93</v>
      </c>
      <c r="EE11">
        <v>0.41</v>
      </c>
      <c r="EG11" t="s">
        <v>67</v>
      </c>
      <c r="EH11">
        <v>350</v>
      </c>
      <c r="EI11" t="s">
        <v>52</v>
      </c>
      <c r="EM11" t="s">
        <v>94</v>
      </c>
      <c r="EN11">
        <v>0.39</v>
      </c>
      <c r="EP11" t="s">
        <v>94</v>
      </c>
      <c r="EQ11">
        <v>0.39</v>
      </c>
      <c r="ES11" t="s">
        <v>94</v>
      </c>
      <c r="ET11">
        <v>0.39</v>
      </c>
      <c r="EV11" t="s">
        <v>385</v>
      </c>
      <c r="EW11">
        <v>350</v>
      </c>
      <c r="EX11" t="s">
        <v>52</v>
      </c>
      <c r="FB11" t="s">
        <v>291</v>
      </c>
      <c r="FC11">
        <v>2.1999999999999999E-2</v>
      </c>
      <c r="FE11" t="s">
        <v>291</v>
      </c>
      <c r="FF11">
        <v>2.1999999999999999E-2</v>
      </c>
      <c r="FH11" t="s">
        <v>291</v>
      </c>
      <c r="FI11">
        <v>2.1999999999999999E-2</v>
      </c>
      <c r="FK11" t="s">
        <v>385</v>
      </c>
      <c r="FL11">
        <v>350</v>
      </c>
      <c r="FM11" t="s">
        <v>52</v>
      </c>
      <c r="FT11" t="s">
        <v>288</v>
      </c>
      <c r="FU11" s="17">
        <v>1</v>
      </c>
      <c r="FW11" t="s">
        <v>288</v>
      </c>
      <c r="FX11" s="17">
        <v>1</v>
      </c>
      <c r="FZ11" t="s">
        <v>385</v>
      </c>
      <c r="GA11">
        <v>350</v>
      </c>
      <c r="GB11" t="s">
        <v>52</v>
      </c>
      <c r="GF11" t="s">
        <v>276</v>
      </c>
      <c r="GG11">
        <v>2.1999999999999999E-2</v>
      </c>
      <c r="GI11" t="s">
        <v>276</v>
      </c>
      <c r="GJ11">
        <v>2.1999999999999999E-2</v>
      </c>
      <c r="GL11" t="s">
        <v>276</v>
      </c>
      <c r="GM11">
        <v>2.1999999999999999E-2</v>
      </c>
      <c r="GO11" t="s">
        <v>385</v>
      </c>
      <c r="GP11">
        <v>350</v>
      </c>
      <c r="GQ11" t="s">
        <v>52</v>
      </c>
      <c r="GU11" t="s">
        <v>281</v>
      </c>
      <c r="GV11">
        <v>0.37</v>
      </c>
      <c r="GX11" t="s">
        <v>281</v>
      </c>
      <c r="GY11">
        <v>0.37</v>
      </c>
      <c r="HA11" t="s">
        <v>281</v>
      </c>
      <c r="HB11">
        <v>0.37</v>
      </c>
      <c r="HD11" t="s">
        <v>86</v>
      </c>
      <c r="HE11">
        <v>26</v>
      </c>
    </row>
    <row r="12" spans="1:214" x14ac:dyDescent="0.2">
      <c r="A12" t="s">
        <v>443</v>
      </c>
      <c r="B12" s="410">
        <v>3.4500000000000003E-2</v>
      </c>
      <c r="C12" t="s">
        <v>449</v>
      </c>
      <c r="D12" t="s">
        <v>87</v>
      </c>
      <c r="E12">
        <f>B33</f>
        <v>10</v>
      </c>
      <c r="F12" t="s">
        <v>78</v>
      </c>
      <c r="G12" t="s">
        <v>457</v>
      </c>
      <c r="H12" s="1">
        <f>H5/(H8*(1/H45)*H21)</f>
        <v>207295762.34163392</v>
      </c>
      <c r="I12" t="s">
        <v>21</v>
      </c>
      <c r="J12" t="s">
        <v>49</v>
      </c>
      <c r="K12" s="1">
        <f>0.693/K13</f>
        <v>1.6041666666666665E-3</v>
      </c>
      <c r="M12" t="s">
        <v>463</v>
      </c>
      <c r="N12">
        <v>1</v>
      </c>
      <c r="P12" t="s">
        <v>463</v>
      </c>
      <c r="Q12">
        <v>1</v>
      </c>
      <c r="S12" t="s">
        <v>463</v>
      </c>
      <c r="T12">
        <v>1</v>
      </c>
      <c r="W12">
        <v>24</v>
      </c>
      <c r="X12" t="s">
        <v>80</v>
      </c>
      <c r="Z12">
        <v>24</v>
      </c>
      <c r="AA12" t="s">
        <v>80</v>
      </c>
      <c r="AB12" t="s">
        <v>377</v>
      </c>
      <c r="AF12">
        <v>5</v>
      </c>
      <c r="AG12">
        <v>5</v>
      </c>
      <c r="AH12" t="s">
        <v>193</v>
      </c>
      <c r="AI12" t="s">
        <v>463</v>
      </c>
      <c r="AJ12">
        <v>1</v>
      </c>
      <c r="AL12" t="s">
        <v>463</v>
      </c>
      <c r="AM12">
        <v>1</v>
      </c>
      <c r="AO12" t="s">
        <v>463</v>
      </c>
      <c r="AP12">
        <v>1</v>
      </c>
      <c r="AR12" t="s">
        <v>463</v>
      </c>
      <c r="AS12">
        <v>1</v>
      </c>
      <c r="AU12" t="s">
        <v>463</v>
      </c>
      <c r="AV12">
        <v>1</v>
      </c>
      <c r="AX12" t="s">
        <v>463</v>
      </c>
      <c r="AY12">
        <v>1</v>
      </c>
      <c r="BA12" t="s">
        <v>463</v>
      </c>
      <c r="BB12">
        <v>1</v>
      </c>
      <c r="BD12" t="s">
        <v>463</v>
      </c>
      <c r="BE12">
        <v>1</v>
      </c>
      <c r="BG12" t="s">
        <v>463</v>
      </c>
      <c r="BH12">
        <v>1</v>
      </c>
      <c r="BJ12" t="s">
        <v>65</v>
      </c>
      <c r="BK12">
        <v>1</v>
      </c>
      <c r="BL12" t="s">
        <v>59</v>
      </c>
      <c r="BM12" t="s">
        <v>65</v>
      </c>
      <c r="BN12">
        <v>1</v>
      </c>
      <c r="BO12" t="s">
        <v>59</v>
      </c>
      <c r="BP12" t="s">
        <v>65</v>
      </c>
      <c r="BQ12">
        <v>1</v>
      </c>
      <c r="BR12" t="s">
        <v>59</v>
      </c>
      <c r="BS12" t="s">
        <v>87</v>
      </c>
      <c r="BT12">
        <f>B33</f>
        <v>10</v>
      </c>
      <c r="BU12" t="s">
        <v>78</v>
      </c>
      <c r="BV12" t="s">
        <v>457</v>
      </c>
      <c r="BW12" s="1">
        <f>BW5/(BW8*(1/BW32)*BW16)</f>
        <v>540740740.74074078</v>
      </c>
      <c r="BX12" t="s">
        <v>21</v>
      </c>
      <c r="BY12" t="s">
        <v>411</v>
      </c>
      <c r="BZ12" s="1">
        <f>B17</f>
        <v>432</v>
      </c>
      <c r="CA12" t="s">
        <v>119</v>
      </c>
      <c r="CB12" t="s">
        <v>105</v>
      </c>
      <c r="CC12">
        <v>0.753</v>
      </c>
      <c r="CE12" t="s">
        <v>105</v>
      </c>
      <c r="CF12">
        <v>0.74299999999999999</v>
      </c>
      <c r="CH12" t="s">
        <v>105</v>
      </c>
      <c r="CI12">
        <v>0.66200000000000003</v>
      </c>
      <c r="CN12" t="s">
        <v>306</v>
      </c>
      <c r="CO12" s="17">
        <v>1</v>
      </c>
      <c r="CP12" t="s">
        <v>75</v>
      </c>
      <c r="CT12" t="s">
        <v>49</v>
      </c>
      <c r="CU12" s="1">
        <f>0.693/CU13</f>
        <v>1.6041666666666665E-3</v>
      </c>
      <c r="CW12" t="s">
        <v>87</v>
      </c>
      <c r="CX12">
        <f>B33</f>
        <v>10</v>
      </c>
      <c r="CY12" t="s">
        <v>78</v>
      </c>
      <c r="CZ12" t="s">
        <v>411</v>
      </c>
      <c r="DA12" s="1">
        <f>B17</f>
        <v>432</v>
      </c>
      <c r="DB12" t="s">
        <v>119</v>
      </c>
      <c r="DC12" t="s">
        <v>471</v>
      </c>
      <c r="DD12" s="1">
        <f>B40</f>
        <v>14.8</v>
      </c>
      <c r="DE12" t="s">
        <v>380</v>
      </c>
      <c r="DF12" t="s">
        <v>101</v>
      </c>
      <c r="DG12">
        <v>10950</v>
      </c>
      <c r="DH12" t="s">
        <v>102</v>
      </c>
      <c r="DO12" t="s">
        <v>101</v>
      </c>
      <c r="DP12">
        <v>10950</v>
      </c>
      <c r="DQ12" t="s">
        <v>102</v>
      </c>
      <c r="DR12" t="s">
        <v>73</v>
      </c>
      <c r="DS12">
        <v>350</v>
      </c>
      <c r="DT12" t="s">
        <v>52</v>
      </c>
      <c r="DX12" t="s">
        <v>103</v>
      </c>
      <c r="DY12">
        <v>1</v>
      </c>
      <c r="EA12" t="s">
        <v>103</v>
      </c>
      <c r="EB12">
        <v>1</v>
      </c>
      <c r="ED12" t="s">
        <v>103</v>
      </c>
      <c r="EE12">
        <v>1</v>
      </c>
      <c r="EG12" t="s">
        <v>73</v>
      </c>
      <c r="EH12">
        <v>350</v>
      </c>
      <c r="EI12" t="s">
        <v>52</v>
      </c>
      <c r="EM12" t="s">
        <v>104</v>
      </c>
      <c r="EN12">
        <v>1</v>
      </c>
      <c r="EP12" t="s">
        <v>104</v>
      </c>
      <c r="EQ12">
        <v>1</v>
      </c>
      <c r="ES12" t="s">
        <v>104</v>
      </c>
      <c r="ET12">
        <v>1</v>
      </c>
      <c r="EV12" t="s">
        <v>386</v>
      </c>
      <c r="EW12">
        <v>350</v>
      </c>
      <c r="EX12" t="s">
        <v>52</v>
      </c>
      <c r="FB12" t="s">
        <v>293</v>
      </c>
      <c r="FC12" s="17">
        <v>1</v>
      </c>
      <c r="FE12" t="s">
        <v>293</v>
      </c>
      <c r="FF12" s="17">
        <v>1</v>
      </c>
      <c r="FH12" t="s">
        <v>293</v>
      </c>
      <c r="FI12" s="17">
        <v>1</v>
      </c>
      <c r="FK12" t="s">
        <v>386</v>
      </c>
      <c r="FL12">
        <v>350</v>
      </c>
      <c r="FM12" t="s">
        <v>52</v>
      </c>
      <c r="FT12" t="s">
        <v>287</v>
      </c>
      <c r="FU12" s="17">
        <v>1</v>
      </c>
      <c r="FW12" t="s">
        <v>287</v>
      </c>
      <c r="FX12" s="17">
        <v>1</v>
      </c>
      <c r="FZ12" t="s">
        <v>386</v>
      </c>
      <c r="GA12">
        <v>350</v>
      </c>
      <c r="GB12" t="s">
        <v>52</v>
      </c>
      <c r="GF12" t="s">
        <v>277</v>
      </c>
      <c r="GG12">
        <v>1</v>
      </c>
      <c r="GI12" t="s">
        <v>277</v>
      </c>
      <c r="GJ12">
        <v>1</v>
      </c>
      <c r="GL12" t="s">
        <v>277</v>
      </c>
      <c r="GM12">
        <v>1</v>
      </c>
      <c r="GO12" t="s">
        <v>386</v>
      </c>
      <c r="GP12">
        <v>350</v>
      </c>
      <c r="GQ12" t="s">
        <v>52</v>
      </c>
      <c r="GU12" t="s">
        <v>282</v>
      </c>
      <c r="GV12">
        <v>1</v>
      </c>
      <c r="GX12" t="s">
        <v>282</v>
      </c>
      <c r="GY12">
        <v>1</v>
      </c>
      <c r="HA12" t="s">
        <v>282</v>
      </c>
      <c r="HB12">
        <v>1</v>
      </c>
      <c r="HE12" s="1"/>
    </row>
    <row r="13" spans="1:214" x14ac:dyDescent="0.2">
      <c r="A13" t="s">
        <v>444</v>
      </c>
      <c r="B13" s="410">
        <v>3.7100000000000001E-2</v>
      </c>
      <c r="C13" t="s">
        <v>449</v>
      </c>
      <c r="D13" t="s">
        <v>95</v>
      </c>
      <c r="E13">
        <f>B34</f>
        <v>20</v>
      </c>
      <c r="F13" t="s">
        <v>78</v>
      </c>
      <c r="G13" t="s">
        <v>454</v>
      </c>
      <c r="H13" s="1">
        <f>H14/((1/H42)*(H50+H51+H52))</f>
        <v>17.096570465960802</v>
      </c>
      <c r="I13" t="s">
        <v>21</v>
      </c>
      <c r="J13" t="s">
        <v>411</v>
      </c>
      <c r="K13" s="1">
        <f>B17</f>
        <v>432</v>
      </c>
      <c r="L13" t="s">
        <v>119</v>
      </c>
      <c r="M13" t="s">
        <v>105</v>
      </c>
      <c r="N13">
        <v>1</v>
      </c>
      <c r="P13" t="s">
        <v>105</v>
      </c>
      <c r="Q13">
        <f>N13</f>
        <v>1</v>
      </c>
      <c r="S13" t="s">
        <v>105</v>
      </c>
      <c r="T13">
        <f>N13</f>
        <v>1</v>
      </c>
      <c r="V13" t="s">
        <v>96</v>
      </c>
      <c r="W13">
        <f>B35</f>
        <v>60</v>
      </c>
      <c r="X13" t="s">
        <v>78</v>
      </c>
      <c r="Y13" t="s">
        <v>96</v>
      </c>
      <c r="Z13">
        <f>B35</f>
        <v>60</v>
      </c>
      <c r="AA13" t="s">
        <v>78</v>
      </c>
      <c r="AB13" t="s">
        <v>378</v>
      </c>
      <c r="AF13">
        <v>50</v>
      </c>
      <c r="AG13">
        <v>50</v>
      </c>
      <c r="AH13" t="s">
        <v>379</v>
      </c>
      <c r="AI13" t="s">
        <v>105</v>
      </c>
      <c r="AJ13">
        <f>N13</f>
        <v>1</v>
      </c>
      <c r="AL13" t="s">
        <v>105</v>
      </c>
      <c r="AM13">
        <f>Q13</f>
        <v>1</v>
      </c>
      <c r="AO13" t="s">
        <v>105</v>
      </c>
      <c r="AP13">
        <f>T13</f>
        <v>1</v>
      </c>
      <c r="AR13" t="s">
        <v>105</v>
      </c>
      <c r="AS13">
        <f>AJ13</f>
        <v>1</v>
      </c>
      <c r="AU13" t="s">
        <v>105</v>
      </c>
      <c r="AV13">
        <f>AM13</f>
        <v>1</v>
      </c>
      <c r="AX13" t="s">
        <v>105</v>
      </c>
      <c r="AY13">
        <f>AP13</f>
        <v>1</v>
      </c>
      <c r="BA13" t="s">
        <v>105</v>
      </c>
      <c r="BB13">
        <v>1</v>
      </c>
      <c r="BD13" t="s">
        <v>105</v>
      </c>
      <c r="BE13">
        <f>AV13</f>
        <v>1</v>
      </c>
      <c r="BG13" t="s">
        <v>105</v>
      </c>
      <c r="BH13">
        <f>AY13</f>
        <v>1</v>
      </c>
      <c r="BJ13" t="s">
        <v>463</v>
      </c>
      <c r="BK13">
        <v>2.41E-4</v>
      </c>
      <c r="BM13" t="s">
        <v>463</v>
      </c>
      <c r="BN13">
        <v>1.17E-4</v>
      </c>
      <c r="BP13" t="s">
        <v>463</v>
      </c>
      <c r="BQ13">
        <v>2.2599999999999999E-4</v>
      </c>
      <c r="BS13" t="s">
        <v>95</v>
      </c>
      <c r="BT13">
        <f>B34</f>
        <v>20</v>
      </c>
      <c r="BU13" t="s">
        <v>78</v>
      </c>
      <c r="BV13" t="s">
        <v>81</v>
      </c>
      <c r="BW13" s="426">
        <f>((BW18*BW21*BW23*BW26*BW14*BW33)+(BW19*BW22*BW24*BW27*BW15*BW34))</f>
        <v>4.5</v>
      </c>
      <c r="BX13" t="s">
        <v>180</v>
      </c>
      <c r="BY13" t="s">
        <v>451</v>
      </c>
      <c r="BZ13" s="1">
        <f>(BZ5/(BZ6*BZ16*(1/BZ36)))*BZ10</f>
        <v>61.321268942120085</v>
      </c>
      <c r="CA13" t="s">
        <v>22</v>
      </c>
      <c r="CB13" t="s">
        <v>166</v>
      </c>
      <c r="CC13">
        <v>1</v>
      </c>
      <c r="CD13" t="s">
        <v>117</v>
      </c>
      <c r="CE13" t="s">
        <v>166</v>
      </c>
      <c r="CF13">
        <v>1</v>
      </c>
      <c r="CG13" t="s">
        <v>117</v>
      </c>
      <c r="CH13" t="s">
        <v>166</v>
      </c>
      <c r="CI13">
        <v>1</v>
      </c>
      <c r="CJ13" t="s">
        <v>117</v>
      </c>
      <c r="CN13" t="s">
        <v>307</v>
      </c>
      <c r="CO13" s="17">
        <v>1</v>
      </c>
      <c r="CP13" t="s">
        <v>75</v>
      </c>
      <c r="CT13" t="s">
        <v>411</v>
      </c>
      <c r="CU13" s="1">
        <f>B17</f>
        <v>432</v>
      </c>
      <c r="CV13" t="s">
        <v>119</v>
      </c>
      <c r="CW13" t="s">
        <v>95</v>
      </c>
      <c r="CX13">
        <f>B34</f>
        <v>20</v>
      </c>
      <c r="CY13" t="s">
        <v>78</v>
      </c>
      <c r="CZ13" t="s">
        <v>451</v>
      </c>
      <c r="DA13" s="1">
        <f>DA5/(DA6*DA24)</f>
        <v>1.7221248264959237</v>
      </c>
      <c r="DB13" t="s">
        <v>24</v>
      </c>
      <c r="DC13" t="s">
        <v>472</v>
      </c>
      <c r="DD13" s="1">
        <f>B41</f>
        <v>56.2</v>
      </c>
      <c r="DE13" t="s">
        <v>380</v>
      </c>
      <c r="DF13" t="s">
        <v>110</v>
      </c>
      <c r="DG13">
        <v>240</v>
      </c>
      <c r="DH13" t="s">
        <v>111</v>
      </c>
      <c r="DO13" t="s">
        <v>110</v>
      </c>
      <c r="DP13">
        <v>240</v>
      </c>
      <c r="DQ13" t="s">
        <v>111</v>
      </c>
      <c r="DR13" t="s">
        <v>227</v>
      </c>
      <c r="DS13">
        <v>1</v>
      </c>
      <c r="DT13" t="s">
        <v>119</v>
      </c>
      <c r="DX13" t="s">
        <v>112</v>
      </c>
      <c r="DY13">
        <v>1</v>
      </c>
      <c r="EA13" t="s">
        <v>112</v>
      </c>
      <c r="EB13">
        <v>1</v>
      </c>
      <c r="ED13" t="s">
        <v>112</v>
      </c>
      <c r="EE13">
        <v>1</v>
      </c>
      <c r="EG13" t="s">
        <v>227</v>
      </c>
      <c r="EH13">
        <v>1</v>
      </c>
      <c r="EI13" t="s">
        <v>119</v>
      </c>
      <c r="EM13" t="s">
        <v>113</v>
      </c>
      <c r="EN13">
        <v>1</v>
      </c>
      <c r="EP13" t="s">
        <v>113</v>
      </c>
      <c r="EQ13">
        <v>1</v>
      </c>
      <c r="ES13" t="s">
        <v>113</v>
      </c>
      <c r="ET13">
        <v>1</v>
      </c>
      <c r="EV13" t="s">
        <v>227</v>
      </c>
      <c r="EW13">
        <v>1</v>
      </c>
      <c r="EX13" t="s">
        <v>119</v>
      </c>
      <c r="FB13" t="s">
        <v>294</v>
      </c>
      <c r="FC13" s="17">
        <v>1</v>
      </c>
      <c r="FE13" t="s">
        <v>294</v>
      </c>
      <c r="FF13" s="17">
        <v>1</v>
      </c>
      <c r="FH13" t="s">
        <v>294</v>
      </c>
      <c r="FI13" s="17">
        <v>1</v>
      </c>
      <c r="FK13" t="s">
        <v>227</v>
      </c>
      <c r="FL13">
        <v>1</v>
      </c>
      <c r="FM13" t="s">
        <v>119</v>
      </c>
      <c r="FT13" t="s">
        <v>286</v>
      </c>
      <c r="FU13" s="17">
        <v>1</v>
      </c>
      <c r="FW13" t="s">
        <v>286</v>
      </c>
      <c r="FX13" s="17">
        <v>1</v>
      </c>
      <c r="FZ13" t="s">
        <v>227</v>
      </c>
      <c r="GA13">
        <v>1</v>
      </c>
      <c r="GB13" t="s">
        <v>119</v>
      </c>
      <c r="GF13" t="s">
        <v>278</v>
      </c>
      <c r="GG13">
        <v>1</v>
      </c>
      <c r="GI13" t="s">
        <v>278</v>
      </c>
      <c r="GJ13">
        <v>1</v>
      </c>
      <c r="GL13" t="s">
        <v>278</v>
      </c>
      <c r="GM13">
        <v>1</v>
      </c>
      <c r="GO13" t="s">
        <v>227</v>
      </c>
      <c r="GP13">
        <v>1</v>
      </c>
      <c r="GQ13" t="s">
        <v>119</v>
      </c>
      <c r="GU13" t="s">
        <v>283</v>
      </c>
      <c r="GV13">
        <v>1</v>
      </c>
      <c r="GX13" t="s">
        <v>283</v>
      </c>
      <c r="GY13">
        <v>1</v>
      </c>
      <c r="HA13" t="s">
        <v>283</v>
      </c>
      <c r="HB13">
        <v>1</v>
      </c>
      <c r="HD13" t="s">
        <v>391</v>
      </c>
      <c r="HE13" s="1">
        <v>10</v>
      </c>
    </row>
    <row r="14" spans="1:214" x14ac:dyDescent="0.2">
      <c r="A14" t="s">
        <v>445</v>
      </c>
      <c r="B14" s="410">
        <v>7.8700000000000002E-5</v>
      </c>
      <c r="C14" t="s">
        <v>449</v>
      </c>
      <c r="D14" t="s">
        <v>106</v>
      </c>
      <c r="E14">
        <v>24</v>
      </c>
      <c r="F14" t="s">
        <v>80</v>
      </c>
      <c r="G14" t="s">
        <v>455</v>
      </c>
      <c r="H14" s="1">
        <f>H5/(H9*(H22+H25)*H43)</f>
        <v>0.21761565225688353</v>
      </c>
      <c r="I14" t="s">
        <v>22</v>
      </c>
      <c r="J14" t="s">
        <v>451</v>
      </c>
      <c r="K14" s="1">
        <f>(K5/(K6*K19*(1/K48)))*K11</f>
        <v>32.029412795660932</v>
      </c>
      <c r="L14" t="s">
        <v>22</v>
      </c>
      <c r="M14" t="s">
        <v>114</v>
      </c>
      <c r="N14">
        <v>7.2999999999999995E-2</v>
      </c>
      <c r="O14" t="s">
        <v>115</v>
      </c>
      <c r="P14" t="s">
        <v>114</v>
      </c>
      <c r="Q14">
        <v>7.2999999999999995E-2</v>
      </c>
      <c r="R14" t="s">
        <v>115</v>
      </c>
      <c r="S14" t="s">
        <v>114</v>
      </c>
      <c r="T14">
        <v>7.2999999999999995E-2</v>
      </c>
      <c r="U14" t="s">
        <v>115</v>
      </c>
      <c r="V14" t="s">
        <v>445</v>
      </c>
      <c r="W14" s="1">
        <f>B14</f>
        <v>7.8700000000000002E-5</v>
      </c>
      <c r="X14" t="s">
        <v>107</v>
      </c>
      <c r="Y14" t="s">
        <v>445</v>
      </c>
      <c r="Z14" s="1">
        <f>B14</f>
        <v>7.8700000000000002E-5</v>
      </c>
      <c r="AA14" t="s">
        <v>107</v>
      </c>
      <c r="AB14" t="s">
        <v>116</v>
      </c>
      <c r="AF14">
        <v>8</v>
      </c>
      <c r="AG14">
        <v>8</v>
      </c>
      <c r="AH14" t="s">
        <v>80</v>
      </c>
      <c r="AI14" t="s">
        <v>114</v>
      </c>
      <c r="AJ14">
        <v>0</v>
      </c>
      <c r="AK14" t="s">
        <v>115</v>
      </c>
      <c r="AL14" t="s">
        <v>114</v>
      </c>
      <c r="AM14">
        <v>0</v>
      </c>
      <c r="AN14" t="s">
        <v>115</v>
      </c>
      <c r="AO14" t="s">
        <v>114</v>
      </c>
      <c r="AP14">
        <v>0</v>
      </c>
      <c r="AQ14" t="s">
        <v>115</v>
      </c>
      <c r="AR14" t="s">
        <v>114</v>
      </c>
      <c r="AS14">
        <f>8/24</f>
        <v>0.33333333333333331</v>
      </c>
      <c r="AT14" t="s">
        <v>115</v>
      </c>
      <c r="AU14" t="s">
        <v>114</v>
      </c>
      <c r="AV14">
        <f>8/24</f>
        <v>0.33333333333333331</v>
      </c>
      <c r="AW14" t="s">
        <v>115</v>
      </c>
      <c r="AX14" t="s">
        <v>116</v>
      </c>
      <c r="AY14">
        <f>8/24</f>
        <v>0.33333333333333331</v>
      </c>
      <c r="AZ14" t="s">
        <v>117</v>
      </c>
      <c r="BA14" t="s">
        <v>114</v>
      </c>
      <c r="BB14">
        <f>8/24</f>
        <v>0.33333333333333331</v>
      </c>
      <c r="BC14" t="s">
        <v>115</v>
      </c>
      <c r="BD14" t="s">
        <v>114</v>
      </c>
      <c r="BE14">
        <f>8/24</f>
        <v>0.33333333333333331</v>
      </c>
      <c r="BF14" t="s">
        <v>115</v>
      </c>
      <c r="BG14" t="s">
        <v>116</v>
      </c>
      <c r="BH14">
        <f>8/24</f>
        <v>0.33333333333333331</v>
      </c>
      <c r="BI14" t="s">
        <v>117</v>
      </c>
      <c r="BJ14" t="s">
        <v>105</v>
      </c>
      <c r="BK14">
        <v>0.753</v>
      </c>
      <c r="BM14" t="s">
        <v>105</v>
      </c>
      <c r="BN14">
        <v>0.74299999999999999</v>
      </c>
      <c r="BP14" t="s">
        <v>105</v>
      </c>
      <c r="BQ14">
        <v>0.66200000000000003</v>
      </c>
      <c r="BS14" t="s">
        <v>399</v>
      </c>
      <c r="BT14">
        <v>1</v>
      </c>
      <c r="BU14" t="s">
        <v>80</v>
      </c>
      <c r="BV14" t="s">
        <v>97</v>
      </c>
      <c r="BW14">
        <v>0.05</v>
      </c>
      <c r="BX14" t="s">
        <v>89</v>
      </c>
      <c r="BY14" t="s">
        <v>452</v>
      </c>
      <c r="BZ14" s="1">
        <f>(BZ5/(BZ7*BZ17*(1/BZ9)*BZ35))*BZ10</f>
        <v>95510.676784426993</v>
      </c>
      <c r="CA14" t="s">
        <v>22</v>
      </c>
      <c r="CB14" t="s">
        <v>460</v>
      </c>
      <c r="CC14" s="1">
        <f>B9</f>
        <v>3.7100000000000001E-2</v>
      </c>
      <c r="CD14" t="s">
        <v>121</v>
      </c>
      <c r="CE14" t="s">
        <v>460</v>
      </c>
      <c r="CF14" s="1">
        <f>B11</f>
        <v>1.84E-2</v>
      </c>
      <c r="CG14" t="s">
        <v>121</v>
      </c>
      <c r="CH14" t="s">
        <v>460</v>
      </c>
      <c r="CI14" s="1">
        <f>B13</f>
        <v>3.7100000000000001E-2</v>
      </c>
      <c r="CJ14" t="s">
        <v>121</v>
      </c>
      <c r="CT14" t="s">
        <v>451</v>
      </c>
      <c r="CU14" s="1">
        <f>(CU5/(CU6*CU25*(1/CU48)))*CU11</f>
        <v>34.662629619479688</v>
      </c>
      <c r="CV14" t="s">
        <v>22</v>
      </c>
      <c r="CW14" t="s">
        <v>165</v>
      </c>
      <c r="CX14">
        <v>24</v>
      </c>
      <c r="CY14" t="s">
        <v>80</v>
      </c>
      <c r="CZ14" t="s">
        <v>452</v>
      </c>
      <c r="DA14" s="1">
        <f>DA5/(DA7*DA25*DA47)</f>
        <v>1.9927761863245733E-3</v>
      </c>
      <c r="DB14" t="s">
        <v>24</v>
      </c>
      <c r="DC14" t="s">
        <v>247</v>
      </c>
      <c r="DD14">
        <v>350</v>
      </c>
      <c r="DE14" t="s">
        <v>52</v>
      </c>
      <c r="DF14" t="s">
        <v>120</v>
      </c>
      <c r="DG14">
        <v>0.26</v>
      </c>
      <c r="DO14" t="s">
        <v>120</v>
      </c>
      <c r="DP14">
        <v>0.26</v>
      </c>
      <c r="DR14" t="s">
        <v>228</v>
      </c>
      <c r="DS14">
        <v>1</v>
      </c>
      <c r="DT14" t="s">
        <v>119</v>
      </c>
      <c r="ED14" t="s">
        <v>120</v>
      </c>
      <c r="EE14">
        <v>0.25</v>
      </c>
      <c r="EG14" t="s">
        <v>228</v>
      </c>
      <c r="EH14">
        <v>1</v>
      </c>
      <c r="EI14" t="s">
        <v>119</v>
      </c>
      <c r="ES14" t="s">
        <v>120</v>
      </c>
      <c r="ET14">
        <v>0.25</v>
      </c>
      <c r="EV14" t="s">
        <v>228</v>
      </c>
      <c r="EW14">
        <v>1</v>
      </c>
      <c r="EX14" t="s">
        <v>119</v>
      </c>
      <c r="FH14" t="s">
        <v>120</v>
      </c>
      <c r="FI14">
        <v>0.25</v>
      </c>
      <c r="FK14" t="s">
        <v>228</v>
      </c>
      <c r="FL14">
        <v>1</v>
      </c>
      <c r="FM14" t="s">
        <v>119</v>
      </c>
      <c r="FT14" t="s">
        <v>186</v>
      </c>
      <c r="FU14" s="1">
        <f>B22</f>
        <v>30</v>
      </c>
      <c r="FW14" t="s">
        <v>120</v>
      </c>
      <c r="FX14">
        <v>0.25</v>
      </c>
      <c r="FZ14" t="s">
        <v>228</v>
      </c>
      <c r="GA14">
        <v>1</v>
      </c>
      <c r="GB14" t="s">
        <v>119</v>
      </c>
      <c r="GL14" t="s">
        <v>279</v>
      </c>
      <c r="GM14">
        <v>0.25</v>
      </c>
      <c r="GO14" t="s">
        <v>228</v>
      </c>
      <c r="GP14">
        <v>1</v>
      </c>
      <c r="GQ14" t="s">
        <v>119</v>
      </c>
      <c r="HA14" t="s">
        <v>120</v>
      </c>
      <c r="HB14">
        <v>0.25</v>
      </c>
      <c r="HD14" t="s">
        <v>118</v>
      </c>
      <c r="HE14">
        <v>8.1999999999999993</v>
      </c>
    </row>
    <row r="15" spans="1:214" ht="13.5" thickBot="1" x14ac:dyDescent="0.25">
      <c r="A15" t="s">
        <v>446</v>
      </c>
      <c r="B15" s="410">
        <v>1.8E-7</v>
      </c>
      <c r="C15" t="s">
        <v>448</v>
      </c>
      <c r="E15">
        <v>24</v>
      </c>
      <c r="F15" t="s">
        <v>80</v>
      </c>
      <c r="G15" t="s">
        <v>81</v>
      </c>
      <c r="H15" s="3">
        <f>(H32*H29*H17*H70)+(H33*H30*H18*H71)</f>
        <v>736.07692307692309</v>
      </c>
      <c r="I15" t="s">
        <v>180</v>
      </c>
      <c r="J15" t="s">
        <v>452</v>
      </c>
      <c r="K15" s="1">
        <f>(K5/(K7*K20*(1/K10)*K47))*K11</f>
        <v>1446.0079171555328</v>
      </c>
      <c r="L15" t="s">
        <v>22</v>
      </c>
      <c r="M15" t="s">
        <v>460</v>
      </c>
      <c r="N15" s="1">
        <f>B9</f>
        <v>3.7100000000000001E-2</v>
      </c>
      <c r="O15" t="s">
        <v>121</v>
      </c>
      <c r="P15" t="s">
        <v>460</v>
      </c>
      <c r="Q15" s="1">
        <f>B11</f>
        <v>1.84E-2</v>
      </c>
      <c r="R15" t="s">
        <v>121</v>
      </c>
      <c r="S15" t="s">
        <v>460</v>
      </c>
      <c r="T15" s="1">
        <f>B13</f>
        <v>3.7100000000000001E-2</v>
      </c>
      <c r="U15" t="s">
        <v>121</v>
      </c>
      <c r="V15" t="s">
        <v>464</v>
      </c>
      <c r="W15">
        <v>1</v>
      </c>
      <c r="Y15" t="s">
        <v>464</v>
      </c>
      <c r="Z15">
        <v>1</v>
      </c>
      <c r="AB15" t="s">
        <v>124</v>
      </c>
      <c r="AC15">
        <v>1</v>
      </c>
      <c r="AD15">
        <v>1</v>
      </c>
      <c r="AE15">
        <v>1</v>
      </c>
      <c r="AF15">
        <v>1</v>
      </c>
      <c r="AG15">
        <v>1</v>
      </c>
      <c r="AI15" t="s">
        <v>460</v>
      </c>
      <c r="AJ15" s="1">
        <f>B9</f>
        <v>3.7100000000000001E-2</v>
      </c>
      <c r="AK15" t="s">
        <v>121</v>
      </c>
      <c r="AL15" t="s">
        <v>460</v>
      </c>
      <c r="AM15" s="1">
        <f>B11</f>
        <v>1.84E-2</v>
      </c>
      <c r="AN15" t="s">
        <v>121</v>
      </c>
      <c r="AO15" t="s">
        <v>460</v>
      </c>
      <c r="AP15" s="1">
        <f>B13</f>
        <v>3.7100000000000001E-2</v>
      </c>
      <c r="AQ15" t="s">
        <v>121</v>
      </c>
      <c r="AR15" t="s">
        <v>460</v>
      </c>
      <c r="AS15" s="1">
        <f>B9</f>
        <v>3.7100000000000001E-2</v>
      </c>
      <c r="AT15" t="s">
        <v>121</v>
      </c>
      <c r="AU15" t="s">
        <v>460</v>
      </c>
      <c r="AV15" s="1">
        <f>B11</f>
        <v>1.84E-2</v>
      </c>
      <c r="AW15" t="s">
        <v>121</v>
      </c>
      <c r="AX15" t="s">
        <v>460</v>
      </c>
      <c r="AY15" s="1">
        <f>B13</f>
        <v>3.7100000000000001E-2</v>
      </c>
      <c r="AZ15" t="s">
        <v>121</v>
      </c>
      <c r="BA15" t="s">
        <v>460</v>
      </c>
      <c r="BB15" s="1">
        <f>B9</f>
        <v>3.7100000000000001E-2</v>
      </c>
      <c r="BC15" t="s">
        <v>121</v>
      </c>
      <c r="BD15" t="s">
        <v>460</v>
      </c>
      <c r="BE15" s="1">
        <f>B11</f>
        <v>1.84E-2</v>
      </c>
      <c r="BF15" t="s">
        <v>121</v>
      </c>
      <c r="BG15" t="s">
        <v>460</v>
      </c>
      <c r="BH15" s="1">
        <f>B13</f>
        <v>3.7100000000000001E-2</v>
      </c>
      <c r="BI15" t="s">
        <v>121</v>
      </c>
      <c r="BJ15" t="s">
        <v>114</v>
      </c>
      <c r="BK15">
        <f>8/24</f>
        <v>0.33333333333333331</v>
      </c>
      <c r="BL15" t="s">
        <v>115</v>
      </c>
      <c r="BM15" t="s">
        <v>114</v>
      </c>
      <c r="BN15">
        <f>8/24</f>
        <v>0.33333333333333331</v>
      </c>
      <c r="BO15" t="s">
        <v>115</v>
      </c>
      <c r="BP15" t="s">
        <v>116</v>
      </c>
      <c r="BQ15">
        <f>8/24</f>
        <v>0.33333333333333331</v>
      </c>
      <c r="BR15" t="s">
        <v>117</v>
      </c>
      <c r="BS15" t="s">
        <v>398</v>
      </c>
      <c r="BT15">
        <v>1</v>
      </c>
      <c r="BU15" t="s">
        <v>80</v>
      </c>
      <c r="BV15" t="s">
        <v>123</v>
      </c>
      <c r="BW15">
        <v>0.05</v>
      </c>
      <c r="BX15" t="s">
        <v>89</v>
      </c>
      <c r="BY15" t="s">
        <v>453</v>
      </c>
      <c r="BZ15" s="1">
        <f>((BZ5)/(BZ8*BZ22*(1/BZ34)*BZ25*BZ28*(1/24)*BZ31*BZ32))*BZ10</f>
        <v>17712598.790749215</v>
      </c>
      <c r="CA15" t="s">
        <v>22</v>
      </c>
      <c r="CT15" t="s">
        <v>452</v>
      </c>
      <c r="CU15" s="1">
        <f>(CU5/(CU7*CU26*(1/CU10)*CU47))*CU11</f>
        <v>1398.354119096666</v>
      </c>
      <c r="CV15" t="s">
        <v>22</v>
      </c>
      <c r="CW15" t="s">
        <v>163</v>
      </c>
      <c r="CX15">
        <v>24</v>
      </c>
      <c r="CY15" t="s">
        <v>80</v>
      </c>
      <c r="CZ15" t="s">
        <v>457</v>
      </c>
      <c r="DA15" s="1">
        <f>DA5/(DA8*DA26*(DA48/DA49))</f>
        <v>203137500.43479776</v>
      </c>
      <c r="DB15" t="s">
        <v>24</v>
      </c>
      <c r="DC15" t="s">
        <v>246</v>
      </c>
      <c r="DD15">
        <v>350</v>
      </c>
      <c r="DE15" t="s">
        <v>52</v>
      </c>
      <c r="DF15" t="s">
        <v>125</v>
      </c>
      <c r="DG15">
        <v>0.42</v>
      </c>
      <c r="DH15" t="s">
        <v>75</v>
      </c>
      <c r="DO15" t="s">
        <v>125</v>
      </c>
      <c r="DP15">
        <v>0.42</v>
      </c>
      <c r="DQ15" t="s">
        <v>75</v>
      </c>
      <c r="DR15" t="s">
        <v>229</v>
      </c>
      <c r="DS15">
        <v>1</v>
      </c>
      <c r="DT15" t="s">
        <v>119</v>
      </c>
      <c r="ED15" t="s">
        <v>55</v>
      </c>
      <c r="EE15">
        <v>92</v>
      </c>
      <c r="EF15" t="s">
        <v>56</v>
      </c>
      <c r="EG15" t="s">
        <v>229</v>
      </c>
      <c r="EH15">
        <v>1</v>
      </c>
      <c r="EI15" t="s">
        <v>119</v>
      </c>
      <c r="ES15" t="s">
        <v>57</v>
      </c>
      <c r="ET15">
        <v>53</v>
      </c>
      <c r="EU15" t="s">
        <v>56</v>
      </c>
      <c r="EV15" t="s">
        <v>229</v>
      </c>
      <c r="EW15">
        <v>1</v>
      </c>
      <c r="EX15" t="s">
        <v>119</v>
      </c>
      <c r="FH15" t="s">
        <v>271</v>
      </c>
      <c r="FI15">
        <v>0.4</v>
      </c>
      <c r="FJ15" t="s">
        <v>56</v>
      </c>
      <c r="FK15" t="s">
        <v>229</v>
      </c>
      <c r="FL15">
        <v>1</v>
      </c>
      <c r="FM15" t="s">
        <v>119</v>
      </c>
      <c r="FT15" t="s">
        <v>296</v>
      </c>
      <c r="FU15" s="1">
        <v>8.1999999999999993</v>
      </c>
      <c r="FW15" t="s">
        <v>274</v>
      </c>
      <c r="FX15" s="17">
        <v>1</v>
      </c>
      <c r="FY15" t="s">
        <v>56</v>
      </c>
      <c r="FZ15" t="s">
        <v>229</v>
      </c>
      <c r="GA15">
        <v>1</v>
      </c>
      <c r="GB15" t="s">
        <v>119</v>
      </c>
      <c r="GL15" t="s">
        <v>272</v>
      </c>
      <c r="GM15">
        <v>0.4</v>
      </c>
      <c r="GN15" t="s">
        <v>56</v>
      </c>
      <c r="GO15" t="s">
        <v>229</v>
      </c>
      <c r="GP15">
        <v>1</v>
      </c>
      <c r="GQ15" t="s">
        <v>119</v>
      </c>
      <c r="HA15" t="s">
        <v>273</v>
      </c>
      <c r="HB15">
        <v>11.4</v>
      </c>
      <c r="HC15" t="s">
        <v>56</v>
      </c>
    </row>
    <row r="16" spans="1:214" ht="13.5" thickTop="1" x14ac:dyDescent="0.2">
      <c r="A16" t="s">
        <v>447</v>
      </c>
      <c r="B16" s="410">
        <v>7.3999999999999999E-4</v>
      </c>
      <c r="C16" t="s">
        <v>448</v>
      </c>
      <c r="D16" t="s">
        <v>122</v>
      </c>
      <c r="E16">
        <v>1</v>
      </c>
      <c r="F16" t="s">
        <v>59</v>
      </c>
      <c r="G16" t="s">
        <v>77</v>
      </c>
      <c r="H16" s="426">
        <f>(H29*H19*H32*H70)+(H30*H20*H33*H71)</f>
        <v>6192.3076923076924</v>
      </c>
      <c r="I16" t="s">
        <v>407</v>
      </c>
      <c r="J16" t="s">
        <v>453</v>
      </c>
      <c r="K16" s="1">
        <f>(K5/(K8*K44*((K39*K43*(1/K37))+(K40*K42*(1/K37)))*K32*(1/K46)*K33))*K11</f>
        <v>82.803314863614702</v>
      </c>
      <c r="L16" t="s">
        <v>22</v>
      </c>
      <c r="M16" t="s">
        <v>136</v>
      </c>
      <c r="N16">
        <v>0.68300000000000005</v>
      </c>
      <c r="O16" t="s">
        <v>115</v>
      </c>
      <c r="P16" t="s">
        <v>136</v>
      </c>
      <c r="Q16">
        <v>0.68300000000000005</v>
      </c>
      <c r="R16" t="s">
        <v>115</v>
      </c>
      <c r="S16" t="s">
        <v>136</v>
      </c>
      <c r="T16">
        <v>0.68300000000000005</v>
      </c>
      <c r="U16" t="s">
        <v>115</v>
      </c>
      <c r="V16" t="s">
        <v>452</v>
      </c>
      <c r="W16" s="1">
        <f>(W5)/((W11/W12)*W8*W9*W10*W13)</f>
        <v>1.4336917562724014E-3</v>
      </c>
      <c r="X16" t="s">
        <v>36</v>
      </c>
      <c r="Y16" t="s">
        <v>452</v>
      </c>
      <c r="Z16" s="1">
        <f>(Z5)/((Z11/Z12)*Z8*Z9*Z10*Z13)</f>
        <v>1.2903225806451613E-3</v>
      </c>
      <c r="AA16" t="s">
        <v>36</v>
      </c>
      <c r="AB16" t="s">
        <v>128</v>
      </c>
      <c r="AC16">
        <v>100</v>
      </c>
      <c r="AD16">
        <v>50</v>
      </c>
      <c r="AE16">
        <v>100</v>
      </c>
      <c r="AF16">
        <v>330</v>
      </c>
      <c r="AG16">
        <v>330</v>
      </c>
      <c r="AI16" t="s">
        <v>136</v>
      </c>
      <c r="AJ16">
        <f>8/24</f>
        <v>0.33333333333333331</v>
      </c>
      <c r="AK16" t="s">
        <v>115</v>
      </c>
      <c r="AL16" t="s">
        <v>136</v>
      </c>
      <c r="AM16">
        <f>8/24</f>
        <v>0.33333333333333331</v>
      </c>
      <c r="AN16" t="s">
        <v>115</v>
      </c>
      <c r="AO16" t="s">
        <v>136</v>
      </c>
      <c r="AP16">
        <f>8/24</f>
        <v>0.33333333333333331</v>
      </c>
      <c r="AQ16" t="s">
        <v>115</v>
      </c>
      <c r="AR16" t="s">
        <v>136</v>
      </c>
      <c r="AS16">
        <v>0</v>
      </c>
      <c r="AT16" t="s">
        <v>115</v>
      </c>
      <c r="AU16" t="s">
        <v>136</v>
      </c>
      <c r="AV16">
        <v>0</v>
      </c>
      <c r="AW16" t="s">
        <v>115</v>
      </c>
      <c r="AX16" t="s">
        <v>136</v>
      </c>
      <c r="AY16">
        <v>0</v>
      </c>
      <c r="AZ16" t="s">
        <v>115</v>
      </c>
      <c r="BA16" t="s">
        <v>136</v>
      </c>
      <c r="BB16">
        <v>0</v>
      </c>
      <c r="BC16" t="s">
        <v>115</v>
      </c>
      <c r="BD16" t="s">
        <v>136</v>
      </c>
      <c r="BE16">
        <v>0</v>
      </c>
      <c r="BF16" t="s">
        <v>115</v>
      </c>
      <c r="BG16" t="s">
        <v>136</v>
      </c>
      <c r="BH16">
        <v>0</v>
      </c>
      <c r="BI16" t="s">
        <v>115</v>
      </c>
      <c r="BJ16" t="s">
        <v>460</v>
      </c>
      <c r="BK16" s="1">
        <f>B9</f>
        <v>3.7100000000000001E-2</v>
      </c>
      <c r="BL16" t="s">
        <v>121</v>
      </c>
      <c r="BM16" t="s">
        <v>460</v>
      </c>
      <c r="BN16" s="1">
        <f>B11</f>
        <v>1.84E-2</v>
      </c>
      <c r="BO16" t="s">
        <v>121</v>
      </c>
      <c r="BP16" t="s">
        <v>460</v>
      </c>
      <c r="BQ16" s="1">
        <f>B13</f>
        <v>3.7100000000000001E-2</v>
      </c>
      <c r="BR16" t="s">
        <v>121</v>
      </c>
      <c r="BS16" t="s">
        <v>166</v>
      </c>
      <c r="BT16">
        <v>1</v>
      </c>
      <c r="BU16" t="s">
        <v>80</v>
      </c>
      <c r="BV16" t="s">
        <v>240</v>
      </c>
      <c r="BW16" s="427">
        <f>((BW18*BW21*BW23*BW26*BW33)+(BW19*BW22*BW24*BW27*BW34))</f>
        <v>90</v>
      </c>
      <c r="BX16" t="s">
        <v>408</v>
      </c>
      <c r="BY16" t="s">
        <v>82</v>
      </c>
      <c r="BZ16" s="427">
        <f>(BZ18*BZ22*BZ27*BZ37)+(BZ19*BZ23*BZ26*BZ38)</f>
        <v>22500</v>
      </c>
      <c r="CA16" t="s">
        <v>406</v>
      </c>
      <c r="CB16" s="403" t="s">
        <v>8</v>
      </c>
      <c r="CC16" s="76" t="s">
        <v>394</v>
      </c>
      <c r="CD16" s="77" t="s">
        <v>0</v>
      </c>
      <c r="CE16" s="230" t="s">
        <v>8</v>
      </c>
      <c r="CF16" s="76" t="s">
        <v>183</v>
      </c>
      <c r="CG16" s="77" t="s">
        <v>0</v>
      </c>
      <c r="CK16" s="394" t="s">
        <v>8</v>
      </c>
      <c r="CL16" s="395" t="s">
        <v>302</v>
      </c>
      <c r="CM16" s="396" t="s">
        <v>0</v>
      </c>
      <c r="CN16" s="76" t="s">
        <v>8</v>
      </c>
      <c r="CO16" s="76" t="s">
        <v>302</v>
      </c>
      <c r="CP16" s="77" t="s">
        <v>0</v>
      </c>
      <c r="CQ16" s="230" t="s">
        <v>8</v>
      </c>
      <c r="CR16" s="76" t="s">
        <v>302</v>
      </c>
      <c r="CS16" s="77" t="s">
        <v>0</v>
      </c>
      <c r="CT16" t="s">
        <v>453</v>
      </c>
      <c r="CU16" s="1">
        <f>(CU5/(CU8*CU44*((CU39*CU43*(1/CU37))+(CU40*CU42*(1/CU37)))*CU32*(1/CU46)*CU33))*CU11</f>
        <v>43.070410886218355</v>
      </c>
      <c r="CV16" t="s">
        <v>22</v>
      </c>
      <c r="CW16" t="s">
        <v>122</v>
      </c>
      <c r="CX16">
        <v>1</v>
      </c>
      <c r="CY16" t="s">
        <v>59</v>
      </c>
      <c r="CZ16" t="s">
        <v>476</v>
      </c>
      <c r="DA16" s="1">
        <f>DG3</f>
        <v>4.0030697946591474</v>
      </c>
      <c r="DB16" t="s">
        <v>24</v>
      </c>
      <c r="DC16" t="s">
        <v>227</v>
      </c>
      <c r="DD16">
        <v>1</v>
      </c>
      <c r="DE16" t="s">
        <v>119</v>
      </c>
      <c r="DF16" t="s">
        <v>129</v>
      </c>
      <c r="DG16">
        <f>DG20+(0.693/DG22)</f>
        <v>4.9504394977168943E-2</v>
      </c>
      <c r="DH16" t="s">
        <v>130</v>
      </c>
      <c r="DO16" t="s">
        <v>129</v>
      </c>
      <c r="DP16">
        <f>DP20+(0.693/DP22)</f>
        <v>4.9499999999999995E-2</v>
      </c>
      <c r="DQ16" t="s">
        <v>130</v>
      </c>
      <c r="DS16">
        <v>1000</v>
      </c>
      <c r="DT16" t="s">
        <v>179</v>
      </c>
      <c r="ED16" t="s">
        <v>129</v>
      </c>
      <c r="EE16">
        <f>EE20+(0.693/EE22)</f>
        <v>4.9499999999999995E-2</v>
      </c>
      <c r="EF16" t="s">
        <v>130</v>
      </c>
      <c r="EH16">
        <v>1000</v>
      </c>
      <c r="EI16" t="s">
        <v>179</v>
      </c>
      <c r="ES16" t="s">
        <v>129</v>
      </c>
      <c r="ET16">
        <f>ET20+(0.693/ET22)</f>
        <v>4.9499999999999995E-2</v>
      </c>
      <c r="EU16" t="s">
        <v>130</v>
      </c>
      <c r="EW16" s="15">
        <v>1000</v>
      </c>
      <c r="EX16" t="s">
        <v>179</v>
      </c>
      <c r="FH16" t="s">
        <v>129</v>
      </c>
      <c r="FI16">
        <v>4.9499999999999995E-2</v>
      </c>
      <c r="FJ16" t="s">
        <v>130</v>
      </c>
      <c r="FL16">
        <v>1000</v>
      </c>
      <c r="FM16" t="s">
        <v>179</v>
      </c>
      <c r="FW16" t="s">
        <v>129</v>
      </c>
      <c r="FX16">
        <f>FX20+(0.693/FX22)</f>
        <v>4.9499999999999995E-2</v>
      </c>
      <c r="FY16" t="s">
        <v>130</v>
      </c>
      <c r="GA16">
        <v>1000</v>
      </c>
      <c r="GB16" t="s">
        <v>179</v>
      </c>
      <c r="GL16" t="s">
        <v>129</v>
      </c>
      <c r="GM16">
        <f>GM20+(0.693/GM22)</f>
        <v>4.9499999999999995E-2</v>
      </c>
      <c r="GN16" t="s">
        <v>130</v>
      </c>
      <c r="GO16" t="s">
        <v>270</v>
      </c>
      <c r="GP16">
        <v>1</v>
      </c>
      <c r="HA16" t="s">
        <v>129</v>
      </c>
      <c r="HB16">
        <f>HB20+(0.693/HB22)</f>
        <v>4.9499999999999995E-2</v>
      </c>
      <c r="HC16" t="s">
        <v>130</v>
      </c>
    </row>
    <row r="17" spans="1:214" ht="13.5" thickBot="1" x14ac:dyDescent="0.25">
      <c r="A17" t="s">
        <v>411</v>
      </c>
      <c r="B17" s="410">
        <v>432</v>
      </c>
      <c r="C17" t="s">
        <v>417</v>
      </c>
      <c r="D17" t="s">
        <v>126</v>
      </c>
      <c r="E17">
        <v>1</v>
      </c>
      <c r="F17" t="s">
        <v>59</v>
      </c>
      <c r="G17" t="s">
        <v>97</v>
      </c>
      <c r="H17">
        <f>B38</f>
        <v>0.78</v>
      </c>
      <c r="J17" t="s">
        <v>454</v>
      </c>
      <c r="K17" s="1">
        <f>K18/(K49+K50)</f>
        <v>0.83682235053598741</v>
      </c>
      <c r="L17" t="s">
        <v>22</v>
      </c>
      <c r="V17" t="s">
        <v>477</v>
      </c>
      <c r="W17" s="1">
        <f>(W5)/((W11/W12)*W8*W9*W14*(1/365))</f>
        <v>61838.204150783575</v>
      </c>
      <c r="X17" t="s">
        <v>36</v>
      </c>
      <c r="Y17" t="s">
        <v>477</v>
      </c>
      <c r="Z17" s="1">
        <f>(Z5)/((Z11/Z12)*Z8*Z9*Z14*(1/365))</f>
        <v>55654.383735705211</v>
      </c>
      <c r="AA17" t="s">
        <v>36</v>
      </c>
      <c r="BS17" t="s">
        <v>122</v>
      </c>
      <c r="BT17">
        <v>1</v>
      </c>
      <c r="BU17" t="s">
        <v>59</v>
      </c>
      <c r="BV17" t="s">
        <v>131</v>
      </c>
      <c r="BW17">
        <v>0.5</v>
      </c>
      <c r="BX17" t="s">
        <v>132</v>
      </c>
      <c r="BY17" t="s">
        <v>77</v>
      </c>
      <c r="BZ17" s="427">
        <f>(BZ27*BZ24*BZ20*(BZ29/24)*BZ37)+(BZ26*BZ23*BZ21*(BZ30/24)*BZ38)</f>
        <v>93.75</v>
      </c>
      <c r="CA17" t="s">
        <v>407</v>
      </c>
      <c r="CB17" s="404" t="s">
        <v>32</v>
      </c>
      <c r="CC17" s="78" t="s">
        <v>13</v>
      </c>
      <c r="CD17" s="79" t="s">
        <v>22</v>
      </c>
      <c r="CE17" s="231" t="s">
        <v>32</v>
      </c>
      <c r="CF17" s="78" t="s">
        <v>13</v>
      </c>
      <c r="CG17" s="79" t="s">
        <v>22</v>
      </c>
      <c r="CK17" s="397" t="s">
        <v>303</v>
      </c>
      <c r="CL17" s="78"/>
      <c r="CM17" s="398" t="s">
        <v>22</v>
      </c>
      <c r="CN17" s="78" t="s">
        <v>11</v>
      </c>
      <c r="CO17" s="78"/>
      <c r="CP17" s="79" t="s">
        <v>22</v>
      </c>
      <c r="CQ17" s="231" t="s">
        <v>10</v>
      </c>
      <c r="CR17" s="78"/>
      <c r="CS17" s="79" t="s">
        <v>22</v>
      </c>
      <c r="CT17" t="s">
        <v>454</v>
      </c>
      <c r="CU17" s="1">
        <f>DJ3</f>
        <v>0.19593744146499051</v>
      </c>
      <c r="CV17" t="s">
        <v>22</v>
      </c>
      <c r="CW17" t="s">
        <v>126</v>
      </c>
      <c r="CX17">
        <v>1</v>
      </c>
      <c r="CY17" t="s">
        <v>59</v>
      </c>
      <c r="CZ17" t="s">
        <v>478</v>
      </c>
      <c r="DA17" s="1">
        <f>DD3</f>
        <v>5.0953531652970785E-2</v>
      </c>
      <c r="DB17" t="s">
        <v>22</v>
      </c>
      <c r="DC17" t="s">
        <v>228</v>
      </c>
      <c r="DD17">
        <v>1</v>
      </c>
      <c r="DE17" t="s">
        <v>119</v>
      </c>
      <c r="DF17" t="s">
        <v>133</v>
      </c>
      <c r="DG17">
        <v>60</v>
      </c>
      <c r="DH17" t="s">
        <v>102</v>
      </c>
      <c r="DO17" t="s">
        <v>133</v>
      </c>
      <c r="DP17">
        <v>60</v>
      </c>
      <c r="DQ17" t="s">
        <v>102</v>
      </c>
      <c r="DR17" t="s">
        <v>256</v>
      </c>
      <c r="DS17">
        <v>1</v>
      </c>
      <c r="ED17" t="s">
        <v>133</v>
      </c>
      <c r="EE17">
        <v>60</v>
      </c>
      <c r="EF17" t="s">
        <v>102</v>
      </c>
      <c r="EG17" t="s">
        <v>259</v>
      </c>
      <c r="EH17">
        <v>1</v>
      </c>
      <c r="ES17" t="s">
        <v>133</v>
      </c>
      <c r="ET17">
        <v>60</v>
      </c>
      <c r="EU17" t="s">
        <v>102</v>
      </c>
      <c r="EV17" t="s">
        <v>264</v>
      </c>
      <c r="EW17">
        <v>1</v>
      </c>
      <c r="FH17" t="s">
        <v>133</v>
      </c>
      <c r="FI17">
        <v>60</v>
      </c>
      <c r="FJ17" t="s">
        <v>102</v>
      </c>
      <c r="FK17" t="s">
        <v>265</v>
      </c>
      <c r="FL17">
        <v>1</v>
      </c>
      <c r="FW17" t="s">
        <v>133</v>
      </c>
      <c r="FX17">
        <v>60</v>
      </c>
      <c r="FY17" t="s">
        <v>102</v>
      </c>
      <c r="FZ17" t="s">
        <v>139</v>
      </c>
      <c r="GA17">
        <v>1</v>
      </c>
      <c r="GL17" t="s">
        <v>133</v>
      </c>
      <c r="GM17">
        <v>60</v>
      </c>
      <c r="GN17" t="s">
        <v>102</v>
      </c>
      <c r="GP17">
        <v>365</v>
      </c>
      <c r="GQ17" t="s">
        <v>52</v>
      </c>
      <c r="HA17" t="s">
        <v>133</v>
      </c>
      <c r="HB17">
        <v>60</v>
      </c>
      <c r="HC17" t="s">
        <v>102</v>
      </c>
    </row>
    <row r="18" spans="1:214" ht="13.5" thickTop="1" x14ac:dyDescent="0.2">
      <c r="A18" t="s">
        <v>148</v>
      </c>
      <c r="B18" s="410">
        <f>PEF!D3</f>
        <v>1359344473.5814338</v>
      </c>
      <c r="D18" t="s">
        <v>445</v>
      </c>
      <c r="E18" s="1">
        <f>B14</f>
        <v>7.8700000000000002E-5</v>
      </c>
      <c r="F18" t="s">
        <v>107</v>
      </c>
      <c r="G18" t="s">
        <v>123</v>
      </c>
      <c r="H18">
        <f>B39</f>
        <v>2.5</v>
      </c>
      <c r="J18" t="s">
        <v>455</v>
      </c>
      <c r="K18" s="1">
        <f>K5/(K9*(K25+K28)*K38)</f>
        <v>0.21761565225688353</v>
      </c>
      <c r="L18" t="s">
        <v>22</v>
      </c>
      <c r="M18" s="117" t="s">
        <v>13</v>
      </c>
      <c r="N18" s="118" t="s">
        <v>142</v>
      </c>
      <c r="O18" s="118" t="s">
        <v>0</v>
      </c>
      <c r="P18" s="252" t="s">
        <v>13</v>
      </c>
      <c r="Q18" s="118" t="s">
        <v>183</v>
      </c>
      <c r="R18" s="119" t="s">
        <v>0</v>
      </c>
      <c r="V18" t="s">
        <v>452</v>
      </c>
      <c r="W18" s="1">
        <f>(W5*W6*W9)/((W11/W12)*(1-EXP(-W6*W9))*W10*W13*W8*W9)</f>
        <v>1.4348420039844937E-3</v>
      </c>
      <c r="X18" t="s">
        <v>37</v>
      </c>
      <c r="Y18" t="s">
        <v>452</v>
      </c>
      <c r="Z18" s="1">
        <f>(Z5*Z6*Z9)/((Z11/Z12)*(1-EXP(-Z6*Z9))*Z10*Z13*Z8*Z9)</f>
        <v>1.2913578035860444E-3</v>
      </c>
      <c r="AA18" t="s">
        <v>37</v>
      </c>
      <c r="AI18" s="133" t="s">
        <v>13</v>
      </c>
      <c r="AJ18" s="134" t="s">
        <v>142</v>
      </c>
      <c r="AK18" s="134" t="s">
        <v>0</v>
      </c>
      <c r="AL18" s="233" t="s">
        <v>13</v>
      </c>
      <c r="AM18" s="134" t="s">
        <v>183</v>
      </c>
      <c r="AN18" s="135" t="s">
        <v>0</v>
      </c>
      <c r="AR18" s="141" t="s">
        <v>13</v>
      </c>
      <c r="AS18" s="142" t="s">
        <v>142</v>
      </c>
      <c r="AT18" s="142" t="s">
        <v>0</v>
      </c>
      <c r="AU18" s="236" t="s">
        <v>13</v>
      </c>
      <c r="AV18" s="142" t="s">
        <v>183</v>
      </c>
      <c r="AW18" s="143" t="s">
        <v>0</v>
      </c>
      <c r="BA18" s="141" t="s">
        <v>13</v>
      </c>
      <c r="BB18" s="142" t="s">
        <v>142</v>
      </c>
      <c r="BC18" s="142" t="s">
        <v>0</v>
      </c>
      <c r="BD18" s="236" t="s">
        <v>13</v>
      </c>
      <c r="BE18" s="142" t="s">
        <v>183</v>
      </c>
      <c r="BF18" s="143" t="s">
        <v>0</v>
      </c>
      <c r="BJ18" s="141" t="s">
        <v>13</v>
      </c>
      <c r="BK18" s="142" t="s">
        <v>142</v>
      </c>
      <c r="BL18" s="142" t="s">
        <v>0</v>
      </c>
      <c r="BM18" s="236" t="s">
        <v>13</v>
      </c>
      <c r="BN18" s="142" t="s">
        <v>183</v>
      </c>
      <c r="BO18" s="143" t="s">
        <v>0</v>
      </c>
      <c r="BS18" t="s">
        <v>126</v>
      </c>
      <c r="BT18">
        <v>1</v>
      </c>
      <c r="BU18" t="s">
        <v>59</v>
      </c>
      <c r="BV18" t="s">
        <v>403</v>
      </c>
      <c r="BW18">
        <v>45</v>
      </c>
      <c r="BX18" t="s">
        <v>52</v>
      </c>
      <c r="BY18" t="s">
        <v>108</v>
      </c>
      <c r="BZ18">
        <f>B36</f>
        <v>200</v>
      </c>
      <c r="CA18" t="s">
        <v>90</v>
      </c>
      <c r="CB18" s="404" t="s">
        <v>475</v>
      </c>
      <c r="CC18" s="80">
        <f>(CC20*CC21*CC22)/((1-EXP(-CC22*CC21))*CC25*CC29*(CC24/365)*CC27*(CC28/24)*CC26)</f>
        <v>345184380.55067009</v>
      </c>
      <c r="CD18" s="79"/>
      <c r="CE18" s="231" t="s">
        <v>475</v>
      </c>
      <c r="CF18" s="80">
        <f>(CF20*CF21*CF22)/((1-EXP(-CF22*CF21))*CF25*CF29*(CF24/365)*CF27*(CF28/24)*CF26)</f>
        <v>36011876.293206967</v>
      </c>
      <c r="CG18" s="79"/>
      <c r="CK18" s="397" t="s">
        <v>456</v>
      </c>
      <c r="CL18" s="80">
        <f>CL20/(CL21*CL22*CL23*CL24)</f>
        <v>18.018018018018019</v>
      </c>
      <c r="CM18" s="398"/>
      <c r="CN18" s="78" t="s">
        <v>456</v>
      </c>
      <c r="CO18" s="80">
        <f>CL18/(CO20*((CO25*CO27*CO28*(CO21+CO22))+(CO26*CO27)))</f>
        <v>287139.72937080509</v>
      </c>
      <c r="CP18" s="79"/>
      <c r="CQ18" s="231" t="s">
        <v>456</v>
      </c>
      <c r="CR18" s="80">
        <f>CL18/(CR20*CR21*(1/CR22))</f>
        <v>360360360.36036032</v>
      </c>
      <c r="CS18" s="79"/>
      <c r="CT18" t="s">
        <v>455</v>
      </c>
      <c r="CU18" s="1">
        <f>DD3</f>
        <v>5.0953531652970785E-2</v>
      </c>
      <c r="CV18" t="s">
        <v>22</v>
      </c>
      <c r="CW18" t="s">
        <v>445</v>
      </c>
      <c r="CX18" s="1">
        <f>B14</f>
        <v>7.8700000000000002E-5</v>
      </c>
      <c r="CY18" t="s">
        <v>107</v>
      </c>
      <c r="CZ18" t="s">
        <v>479</v>
      </c>
      <c r="DA18" s="1">
        <f>EZ3</f>
        <v>67701.114972444702</v>
      </c>
      <c r="DC18" t="s">
        <v>229</v>
      </c>
      <c r="DD18">
        <v>1</v>
      </c>
      <c r="DE18" t="s">
        <v>119</v>
      </c>
      <c r="DF18" t="s">
        <v>135</v>
      </c>
      <c r="DG18">
        <v>2</v>
      </c>
      <c r="DH18" t="s">
        <v>111</v>
      </c>
      <c r="DO18" t="s">
        <v>135</v>
      </c>
      <c r="DP18">
        <v>2</v>
      </c>
      <c r="DQ18" t="s">
        <v>111</v>
      </c>
      <c r="DS18">
        <v>365</v>
      </c>
      <c r="DT18" t="s">
        <v>52</v>
      </c>
      <c r="ED18" t="s">
        <v>135</v>
      </c>
      <c r="EE18">
        <v>2</v>
      </c>
      <c r="EF18" t="s">
        <v>111</v>
      </c>
      <c r="EH18">
        <v>365</v>
      </c>
      <c r="EI18" t="s">
        <v>245</v>
      </c>
      <c r="ES18" t="s">
        <v>135</v>
      </c>
      <c r="ET18">
        <v>2</v>
      </c>
      <c r="EU18" t="s">
        <v>111</v>
      </c>
      <c r="EW18">
        <v>365</v>
      </c>
      <c r="EX18" t="s">
        <v>52</v>
      </c>
      <c r="FH18" t="s">
        <v>135</v>
      </c>
      <c r="FI18">
        <v>2</v>
      </c>
      <c r="FJ18" t="s">
        <v>111</v>
      </c>
      <c r="FL18">
        <v>365</v>
      </c>
      <c r="FM18" t="s">
        <v>52</v>
      </c>
      <c r="FW18" t="s">
        <v>135</v>
      </c>
      <c r="FX18">
        <v>2</v>
      </c>
      <c r="FY18" t="s">
        <v>111</v>
      </c>
      <c r="GA18">
        <v>365</v>
      </c>
      <c r="GB18" t="s">
        <v>52</v>
      </c>
      <c r="GL18" t="s">
        <v>135</v>
      </c>
      <c r="GM18">
        <v>2</v>
      </c>
      <c r="GN18" t="s">
        <v>111</v>
      </c>
      <c r="GO18" t="s">
        <v>433</v>
      </c>
      <c r="GP18" s="1">
        <f>B49</f>
        <v>0.15</v>
      </c>
      <c r="HA18" t="s">
        <v>135</v>
      </c>
      <c r="HB18">
        <v>2</v>
      </c>
      <c r="HC18" t="s">
        <v>111</v>
      </c>
    </row>
    <row r="19" spans="1:214" ht="13.5" thickBot="1" x14ac:dyDescent="0.25">
      <c r="A19" t="s">
        <v>184</v>
      </c>
      <c r="B19" s="410">
        <f>PEF!G3</f>
        <v>776129.4078035407</v>
      </c>
      <c r="D19" t="s">
        <v>464</v>
      </c>
      <c r="E19">
        <v>1</v>
      </c>
      <c r="G19" t="s">
        <v>223</v>
      </c>
      <c r="H19">
        <f>B33</f>
        <v>10</v>
      </c>
      <c r="J19" t="s">
        <v>82</v>
      </c>
      <c r="K19" s="428">
        <f>K21*K31*K35*K53+K22*K32*K34*K54</f>
        <v>43076.923076923078</v>
      </c>
      <c r="L19" t="s">
        <v>406</v>
      </c>
      <c r="M19" s="120" t="s">
        <v>32</v>
      </c>
      <c r="N19" s="121" t="s">
        <v>33</v>
      </c>
      <c r="O19" s="131" t="s">
        <v>146</v>
      </c>
      <c r="P19" s="253" t="s">
        <v>32</v>
      </c>
      <c r="Q19" s="121" t="s">
        <v>33</v>
      </c>
      <c r="R19" s="122" t="s">
        <v>22</v>
      </c>
      <c r="V19" t="s">
        <v>477</v>
      </c>
      <c r="W19" s="1">
        <f>(W5*W6*W9)/((W11/W12)*(1-EXP(-W6*W9))*W14*W8*W9*(1/365))</f>
        <v>61887.816804642491</v>
      </c>
      <c r="X19" t="s">
        <v>37</v>
      </c>
      <c r="Y19" t="s">
        <v>477</v>
      </c>
      <c r="Z19" s="1">
        <f>(Z5*Z6*Z9)/((Z11/Z12)*(1-EXP(-Z6*Z9))*Z14*Z8*Z9*(1/365))</f>
        <v>55699.035124178248</v>
      </c>
      <c r="AA19" t="s">
        <v>37</v>
      </c>
      <c r="AB19" t="s">
        <v>463</v>
      </c>
      <c r="AC19">
        <v>1</v>
      </c>
      <c r="AD19">
        <v>1</v>
      </c>
      <c r="AE19">
        <v>1</v>
      </c>
      <c r="AF19">
        <v>1</v>
      </c>
      <c r="AG19">
        <v>1</v>
      </c>
      <c r="AI19" s="136" t="s">
        <v>5</v>
      </c>
      <c r="AJ19" s="84" t="s">
        <v>34</v>
      </c>
      <c r="AK19" s="151" t="s">
        <v>146</v>
      </c>
      <c r="AL19" s="234" t="s">
        <v>5</v>
      </c>
      <c r="AM19" s="84" t="s">
        <v>34</v>
      </c>
      <c r="AN19" s="137" t="s">
        <v>22</v>
      </c>
      <c r="AR19" s="144" t="s">
        <v>2</v>
      </c>
      <c r="AS19" s="86" t="s">
        <v>34</v>
      </c>
      <c r="AT19" s="152" t="s">
        <v>146</v>
      </c>
      <c r="AU19" s="237" t="s">
        <v>2</v>
      </c>
      <c r="AV19" s="86" t="s">
        <v>34</v>
      </c>
      <c r="AW19" s="145" t="s">
        <v>22</v>
      </c>
      <c r="BA19" s="144" t="s">
        <v>4</v>
      </c>
      <c r="BB19" s="86" t="s">
        <v>34</v>
      </c>
      <c r="BC19" s="152" t="s">
        <v>146</v>
      </c>
      <c r="BD19" s="237" t="s">
        <v>4</v>
      </c>
      <c r="BE19" s="86" t="s">
        <v>34</v>
      </c>
      <c r="BF19" s="145" t="s">
        <v>22</v>
      </c>
      <c r="BJ19" s="144" t="s">
        <v>222</v>
      </c>
      <c r="BK19" s="86" t="s">
        <v>34</v>
      </c>
      <c r="BL19" s="152" t="s">
        <v>146</v>
      </c>
      <c r="BM19" s="237" t="s">
        <v>222</v>
      </c>
      <c r="BN19" s="86" t="s">
        <v>34</v>
      </c>
      <c r="BO19" s="145" t="s">
        <v>22</v>
      </c>
      <c r="BS19" t="s">
        <v>445</v>
      </c>
      <c r="BT19" s="1">
        <f>E18</f>
        <v>7.8700000000000002E-5</v>
      </c>
      <c r="BU19" t="s">
        <v>107</v>
      </c>
      <c r="BV19" t="s">
        <v>404</v>
      </c>
      <c r="BW19">
        <v>45</v>
      </c>
      <c r="BX19" t="s">
        <v>52</v>
      </c>
      <c r="BY19" t="s">
        <v>127</v>
      </c>
      <c r="BZ19">
        <f>B37</f>
        <v>100</v>
      </c>
      <c r="CA19" t="s">
        <v>90</v>
      </c>
      <c r="CB19" s="405"/>
      <c r="CC19" s="81"/>
      <c r="CD19" s="82"/>
      <c r="CE19" s="232"/>
      <c r="CF19" s="81"/>
      <c r="CG19" s="82"/>
      <c r="CK19" s="399"/>
      <c r="CL19" s="400"/>
      <c r="CM19" s="401"/>
      <c r="CN19" s="393"/>
      <c r="CO19" s="81"/>
      <c r="CP19" s="82"/>
      <c r="CQ19" s="232"/>
      <c r="CR19" s="81"/>
      <c r="CS19" s="82"/>
      <c r="CT19" t="s">
        <v>479</v>
      </c>
      <c r="CU19" s="1">
        <f>FC3</f>
        <v>370.96501354764217</v>
      </c>
      <c r="CV19" t="s">
        <v>22</v>
      </c>
      <c r="CW19" t="s">
        <v>464</v>
      </c>
      <c r="CX19">
        <v>1</v>
      </c>
      <c r="CZ19" t="s">
        <v>480</v>
      </c>
      <c r="DA19" s="1">
        <f>GS3</f>
        <v>30023.767538243967</v>
      </c>
      <c r="DD19" s="1">
        <v>9.9999999999999995E-7</v>
      </c>
      <c r="DF19" t="s">
        <v>137</v>
      </c>
      <c r="DG19">
        <v>2.6999999999999999E-5</v>
      </c>
      <c r="DH19" t="s">
        <v>130</v>
      </c>
      <c r="DO19" t="s">
        <v>137</v>
      </c>
      <c r="DP19">
        <v>2.6999999999999999E-5</v>
      </c>
      <c r="DQ19" t="s">
        <v>130</v>
      </c>
      <c r="DR19" t="s">
        <v>433</v>
      </c>
      <c r="DS19" s="1">
        <f>B49</f>
        <v>0.15</v>
      </c>
      <c r="ED19" t="s">
        <v>137</v>
      </c>
      <c r="EE19">
        <v>2.6999999999999999E-5</v>
      </c>
      <c r="EF19" t="s">
        <v>130</v>
      </c>
      <c r="EG19" t="s">
        <v>433</v>
      </c>
      <c r="EH19" s="1">
        <f>B49</f>
        <v>0.15</v>
      </c>
      <c r="ES19" t="s">
        <v>137</v>
      </c>
      <c r="ET19">
        <v>2.6999999999999999E-5</v>
      </c>
      <c r="EU19" t="s">
        <v>130</v>
      </c>
      <c r="EV19" t="s">
        <v>433</v>
      </c>
      <c r="EW19" s="1">
        <f>B49</f>
        <v>0.15</v>
      </c>
      <c r="FH19" t="s">
        <v>137</v>
      </c>
      <c r="FI19">
        <v>2.6999999999999999E-5</v>
      </c>
      <c r="FJ19" t="s">
        <v>130</v>
      </c>
      <c r="FK19" t="s">
        <v>433</v>
      </c>
      <c r="FL19" s="1">
        <f>B49</f>
        <v>0.15</v>
      </c>
      <c r="FW19" t="s">
        <v>137</v>
      </c>
      <c r="FX19">
        <v>2.6999999999999999E-5</v>
      </c>
      <c r="FY19" t="s">
        <v>130</v>
      </c>
      <c r="FZ19" t="s">
        <v>433</v>
      </c>
      <c r="GA19" s="1">
        <f>B49</f>
        <v>0.15</v>
      </c>
      <c r="GL19" t="s">
        <v>137</v>
      </c>
      <c r="GM19">
        <v>2.6999999999999999E-5</v>
      </c>
      <c r="GN19" t="s">
        <v>130</v>
      </c>
      <c r="GO19" t="s">
        <v>432</v>
      </c>
      <c r="GP19" s="1">
        <f>B50</f>
        <v>0.85</v>
      </c>
      <c r="HA19" t="s">
        <v>137</v>
      </c>
      <c r="HB19">
        <v>2.6999999999999999E-5</v>
      </c>
      <c r="HC19" t="s">
        <v>130</v>
      </c>
    </row>
    <row r="20" spans="1:214" ht="14.25" thickTop="1" thickBot="1" x14ac:dyDescent="0.25">
      <c r="A20" t="s">
        <v>185</v>
      </c>
      <c r="B20" s="410">
        <f>PEF!J3</f>
        <v>69557565.807898715</v>
      </c>
      <c r="D20" t="s">
        <v>452</v>
      </c>
      <c r="E20" s="1">
        <f>(E5)/((E14/E15)*E10*E11)</f>
        <v>1.0418753756762172E-3</v>
      </c>
      <c r="F20" t="s">
        <v>36</v>
      </c>
      <c r="G20" t="s">
        <v>224</v>
      </c>
      <c r="H20">
        <f>B34</f>
        <v>20</v>
      </c>
      <c r="J20" t="s">
        <v>77</v>
      </c>
      <c r="K20" s="428">
        <f>(K35*K31*K23*(K36/24)*K53)+(K34*K32*K24*(K37/24)*K54)</f>
        <v>6192.3076923076924</v>
      </c>
      <c r="L20" t="s">
        <v>134</v>
      </c>
      <c r="M20" s="120" t="s">
        <v>475</v>
      </c>
      <c r="N20" s="123">
        <f>(N22*N23*N24)/((1-EXP(-N24*N23))*N27*N32*(N26/365)*N30*((N31*N29)+(N33*N28)))</f>
        <v>113.07177861393666</v>
      </c>
      <c r="O20" s="131"/>
      <c r="P20" s="253" t="s">
        <v>475</v>
      </c>
      <c r="Q20" s="123">
        <f>(Q22*Q23*Q24)/((1-EXP(-Q24*Q23))*Q27*Q32*(Q26/365)*Q30*((Q31*Q29)+(Q33*Q28)))</f>
        <v>89.146445747799334</v>
      </c>
      <c r="R20" s="122"/>
      <c r="AB20" t="s">
        <v>412</v>
      </c>
      <c r="AC20">
        <f>B35</f>
        <v>60</v>
      </c>
      <c r="AD20">
        <f>B35</f>
        <v>60</v>
      </c>
      <c r="AE20">
        <f>B35</f>
        <v>60</v>
      </c>
      <c r="AF20">
        <f>B35</f>
        <v>60</v>
      </c>
      <c r="AG20">
        <f>B35</f>
        <v>60</v>
      </c>
      <c r="AH20" t="s">
        <v>78</v>
      </c>
      <c r="AI20" s="136" t="s">
        <v>475</v>
      </c>
      <c r="AJ20" s="85">
        <f>(AJ22*AJ23*AJ24)/((1-EXP(-AJ24*AJ23))*AJ27*AJ32*(AJ26/365)*AJ30*((AJ31*AJ29)+(AJ33*AJ28)))</f>
        <v>410.69992232459356</v>
      </c>
      <c r="AK20" s="151"/>
      <c r="AL20" s="234" t="s">
        <v>475</v>
      </c>
      <c r="AM20" s="85">
        <f>(AM22*AM23*AM24)/((1-EXP(-AM24*AM23))*AM27*AM32*(AM26/365)*AM30*((AM31*AM29)+(AM33*AM28)))</f>
        <v>323.79819962982441</v>
      </c>
      <c r="AN20" s="137"/>
      <c r="AR20" s="144" t="s">
        <v>475</v>
      </c>
      <c r="AS20" s="87">
        <f>(AS22*AS23*AS24)/((1-EXP(-AS24*AS23))*AS27*AS32*(AS26/365)*AS30*((AS31*AS29)+(AS33*AS28)))</f>
        <v>182.53329881093043</v>
      </c>
      <c r="AT20" s="152"/>
      <c r="AU20" s="237" t="s">
        <v>475</v>
      </c>
      <c r="AV20" s="87">
        <f>(AV22*AV23*AV24)/((1-EXP(-AV24*AV23))*AV27*AV32*(AV26/365)*AV30*((AV31*AV29)+(AV33*AV28)))</f>
        <v>143.91031094658862</v>
      </c>
      <c r="AW20" s="145"/>
      <c r="BA20" s="144" t="s">
        <v>475</v>
      </c>
      <c r="BB20" s="87">
        <f>(BB22*BB23*BB24)/((1-EXP(-BB24*BB23))*BB27*BB32*(BB26/365)*BB30*((BB31*BB29)+(BB33*BB28)))</f>
        <v>164.27996892983742</v>
      </c>
      <c r="BC20" s="152"/>
      <c r="BD20" s="237" t="s">
        <v>475</v>
      </c>
      <c r="BE20" s="87">
        <f>(BE22*BE23*BE24)/((1-EXP(-BE24*BE23))*BE27*BE32*(BE26/365)*BE30*((BE31*BE29)+(BE33*BE28)))</f>
        <v>129.51927985192975</v>
      </c>
      <c r="BF20" s="145"/>
      <c r="BJ20" s="144" t="s">
        <v>475</v>
      </c>
      <c r="BK20" s="87">
        <f>(BK22*BK23*BK24)/((1-EXP(-BK24*BK23))*BK29*BK34*(BK26/365)*BK32*BK33*BK31)</f>
        <v>12688355.152948759</v>
      </c>
      <c r="BL20" s="152"/>
      <c r="BM20" s="237" t="s">
        <v>475</v>
      </c>
      <c r="BN20" s="87">
        <f>(BN22*BN23*BN24)/((1-EXP(-BN24*BN23))*BN29*BN34*(BN26/365)*BN32*BN33*BN31)</f>
        <v>1323731.6109243601</v>
      </c>
      <c r="BO20" s="145"/>
      <c r="BS20" t="s">
        <v>464</v>
      </c>
      <c r="BT20">
        <v>1</v>
      </c>
      <c r="BV20" t="s">
        <v>100</v>
      </c>
      <c r="BW20">
        <v>1</v>
      </c>
      <c r="BX20" t="s">
        <v>119</v>
      </c>
      <c r="BY20" t="s">
        <v>223</v>
      </c>
      <c r="BZ20">
        <f>B33</f>
        <v>10</v>
      </c>
      <c r="CA20" t="s">
        <v>78</v>
      </c>
      <c r="CB20" t="s">
        <v>458</v>
      </c>
      <c r="CC20" s="1">
        <v>1</v>
      </c>
      <c r="CD20" t="s">
        <v>459</v>
      </c>
      <c r="CE20" t="s">
        <v>458</v>
      </c>
      <c r="CF20" s="1">
        <v>1</v>
      </c>
      <c r="CG20" t="s">
        <v>459</v>
      </c>
      <c r="CK20" t="s">
        <v>458</v>
      </c>
      <c r="CL20" s="1">
        <v>1</v>
      </c>
      <c r="CM20" t="s">
        <v>459</v>
      </c>
      <c r="CN20" t="s">
        <v>396</v>
      </c>
      <c r="CO20" s="1">
        <f>B28</f>
        <v>5.0000000000000002E-5</v>
      </c>
      <c r="CP20" t="s">
        <v>459</v>
      </c>
      <c r="CQ20" t="s">
        <v>396</v>
      </c>
      <c r="CR20" s="1">
        <f>CO20</f>
        <v>5.0000000000000002E-5</v>
      </c>
      <c r="CS20" t="s">
        <v>459</v>
      </c>
      <c r="CT20" t="s">
        <v>480</v>
      </c>
      <c r="CU20" s="1">
        <f>GV3</f>
        <v>218.215460590361</v>
      </c>
      <c r="CV20" t="s">
        <v>22</v>
      </c>
      <c r="CW20" t="s">
        <v>452</v>
      </c>
      <c r="CX20" s="1">
        <f>(CX5)/((CX14/CX15)*CX10*CX11)</f>
        <v>9.9638809316228666E-4</v>
      </c>
      <c r="CY20" t="s">
        <v>36</v>
      </c>
      <c r="CZ20" t="s">
        <v>481</v>
      </c>
      <c r="DA20" s="1">
        <f>EK3</f>
        <v>12.260487492938147</v>
      </c>
      <c r="DD20" s="1">
        <v>1000</v>
      </c>
      <c r="DE20" t="s">
        <v>179</v>
      </c>
      <c r="DF20" t="s">
        <v>138</v>
      </c>
      <c r="DG20" s="1">
        <f>0.693/DG23</f>
        <v>4.3949771689497717E-6</v>
      </c>
      <c r="DH20" t="s">
        <v>130</v>
      </c>
      <c r="DO20" t="s">
        <v>138</v>
      </c>
      <c r="DP20">
        <v>0</v>
      </c>
      <c r="DQ20" t="s">
        <v>130</v>
      </c>
      <c r="DR20" t="s">
        <v>432</v>
      </c>
      <c r="DS20" s="1">
        <f>B50</f>
        <v>0.85</v>
      </c>
      <c r="ED20" t="s">
        <v>138</v>
      </c>
      <c r="EE20">
        <v>0</v>
      </c>
      <c r="EF20" t="s">
        <v>130</v>
      </c>
      <c r="EG20" t="s">
        <v>432</v>
      </c>
      <c r="EH20" s="1">
        <f>B50</f>
        <v>0.85</v>
      </c>
      <c r="ES20" t="s">
        <v>138</v>
      </c>
      <c r="ET20">
        <v>0</v>
      </c>
      <c r="EU20" t="s">
        <v>130</v>
      </c>
      <c r="EV20" t="s">
        <v>432</v>
      </c>
      <c r="EW20" s="1">
        <f>B50</f>
        <v>0.85</v>
      </c>
      <c r="FH20" t="s">
        <v>138</v>
      </c>
      <c r="FI20">
        <v>0</v>
      </c>
      <c r="FJ20" t="s">
        <v>130</v>
      </c>
      <c r="FK20" t="s">
        <v>432</v>
      </c>
      <c r="FL20" s="1">
        <f>B50</f>
        <v>0.85</v>
      </c>
      <c r="FW20" t="s">
        <v>138</v>
      </c>
      <c r="FX20">
        <v>0</v>
      </c>
      <c r="FY20" t="s">
        <v>130</v>
      </c>
      <c r="FZ20" t="s">
        <v>432</v>
      </c>
      <c r="GA20" s="1">
        <f>B50</f>
        <v>0.85</v>
      </c>
      <c r="GL20" t="s">
        <v>138</v>
      </c>
      <c r="GM20">
        <v>0</v>
      </c>
      <c r="GN20" t="s">
        <v>130</v>
      </c>
      <c r="HA20" t="s">
        <v>138</v>
      </c>
      <c r="HB20">
        <v>0</v>
      </c>
      <c r="HC20" t="s">
        <v>130</v>
      </c>
    </row>
    <row r="21" spans="1:214" ht="14.25" thickTop="1" thickBot="1" x14ac:dyDescent="0.25">
      <c r="A21" t="s">
        <v>411</v>
      </c>
      <c r="B21" s="410">
        <v>157680</v>
      </c>
      <c r="C21" t="s">
        <v>381</v>
      </c>
      <c r="D21" t="s">
        <v>477</v>
      </c>
      <c r="E21" s="1">
        <f>(E5)/((E14/E15)*E8*E9*E18*(1/365)*E19)</f>
        <v>13251.043746596477</v>
      </c>
      <c r="F21" t="s">
        <v>36</v>
      </c>
      <c r="G21" t="s">
        <v>240</v>
      </c>
      <c r="H21" s="426">
        <f>(H29*H32*H38*H34*H70)+(H30*H33*H39*H35*H71)</f>
        <v>234.76923076923077</v>
      </c>
      <c r="I21" t="s">
        <v>408</v>
      </c>
      <c r="J21" t="s">
        <v>108</v>
      </c>
      <c r="K21">
        <f>B36</f>
        <v>200</v>
      </c>
      <c r="L21" t="s">
        <v>90</v>
      </c>
      <c r="M21" s="124"/>
      <c r="N21" s="125"/>
      <c r="O21" s="169"/>
      <c r="P21" s="254"/>
      <c r="Q21" s="125"/>
      <c r="R21" s="126"/>
      <c r="AB21" t="s">
        <v>462</v>
      </c>
      <c r="AC21">
        <v>0.4</v>
      </c>
      <c r="AD21">
        <v>0.4</v>
      </c>
      <c r="AE21">
        <v>0.4</v>
      </c>
      <c r="AF21">
        <v>0.4</v>
      </c>
      <c r="AG21">
        <v>0.4</v>
      </c>
      <c r="AI21" s="138" t="s">
        <v>32</v>
      </c>
      <c r="AJ21" s="139"/>
      <c r="AK21" s="153"/>
      <c r="AL21" s="235" t="s">
        <v>32</v>
      </c>
      <c r="AM21" s="139"/>
      <c r="AN21" s="140"/>
      <c r="AR21" s="146" t="s">
        <v>32</v>
      </c>
      <c r="AS21" s="147"/>
      <c r="AT21" s="154"/>
      <c r="AU21" s="238" t="s">
        <v>32</v>
      </c>
      <c r="AV21" s="147"/>
      <c r="AW21" s="148"/>
      <c r="BA21" s="146" t="s">
        <v>32</v>
      </c>
      <c r="BB21" s="147"/>
      <c r="BC21" s="154"/>
      <c r="BD21" s="238" t="s">
        <v>32</v>
      </c>
      <c r="BE21" s="147"/>
      <c r="BF21" s="148"/>
      <c r="BJ21" s="146" t="s">
        <v>32</v>
      </c>
      <c r="BK21" s="147"/>
      <c r="BL21" s="154"/>
      <c r="BM21" s="238" t="s">
        <v>32</v>
      </c>
      <c r="BN21" s="147"/>
      <c r="BO21" s="148"/>
      <c r="BS21" t="s">
        <v>452</v>
      </c>
      <c r="BT21" s="1">
        <f>(BT5)/(BT10*BT11)</f>
        <v>6.8817204301075269E-2</v>
      </c>
      <c r="BU21" t="s">
        <v>36</v>
      </c>
      <c r="BV21" t="s">
        <v>402</v>
      </c>
      <c r="BW21">
        <v>1</v>
      </c>
      <c r="BY21" t="s">
        <v>224</v>
      </c>
      <c r="BZ21">
        <f>B34</f>
        <v>20</v>
      </c>
      <c r="CA21" t="s">
        <v>78</v>
      </c>
      <c r="CB21" t="s">
        <v>58</v>
      </c>
      <c r="CC21">
        <v>26</v>
      </c>
      <c r="CD21" t="s">
        <v>59</v>
      </c>
      <c r="CE21" t="s">
        <v>58</v>
      </c>
      <c r="CF21">
        <v>26</v>
      </c>
      <c r="CG21" t="s">
        <v>59</v>
      </c>
      <c r="CK21" t="s">
        <v>447</v>
      </c>
      <c r="CL21" s="1">
        <f>E35</f>
        <v>7.3999999999999999E-4</v>
      </c>
      <c r="CM21" t="s">
        <v>22</v>
      </c>
      <c r="CN21" t="s">
        <v>47</v>
      </c>
      <c r="CO21">
        <f>CO23</f>
        <v>5.0000000000000001E-3</v>
      </c>
      <c r="CQ21" t="s">
        <v>316</v>
      </c>
      <c r="CR21" s="17">
        <v>1</v>
      </c>
      <c r="CS21" t="s">
        <v>56</v>
      </c>
      <c r="CT21" t="s">
        <v>481</v>
      </c>
      <c r="CU21" s="1">
        <f>EN3</f>
        <v>190.94414452788081</v>
      </c>
      <c r="CV21" t="s">
        <v>22</v>
      </c>
      <c r="CW21" t="s">
        <v>477</v>
      </c>
      <c r="CX21" s="1">
        <f>(CX5)/((CX14/CX15)*CX8*CX9*CX18*(1/365)*CX19)</f>
        <v>13251.043746596477</v>
      </c>
      <c r="CY21" t="s">
        <v>36</v>
      </c>
      <c r="CZ21" t="s">
        <v>482</v>
      </c>
      <c r="DA21" s="1">
        <f>DV3</f>
        <v>37.394131044980043</v>
      </c>
      <c r="DC21" t="s">
        <v>139</v>
      </c>
      <c r="DD21">
        <v>1</v>
      </c>
      <c r="DF21" t="s">
        <v>140</v>
      </c>
      <c r="DG21">
        <v>1</v>
      </c>
      <c r="DH21" t="s">
        <v>75</v>
      </c>
      <c r="DO21" t="s">
        <v>140</v>
      </c>
      <c r="DP21">
        <v>1</v>
      </c>
      <c r="DQ21" t="s">
        <v>75</v>
      </c>
      <c r="ED21" t="s">
        <v>140</v>
      </c>
      <c r="EE21">
        <v>1</v>
      </c>
      <c r="EF21" t="s">
        <v>75</v>
      </c>
      <c r="ES21" t="s">
        <v>140</v>
      </c>
      <c r="ET21">
        <v>1</v>
      </c>
      <c r="EU21" t="s">
        <v>75</v>
      </c>
      <c r="FH21" t="s">
        <v>140</v>
      </c>
      <c r="FI21">
        <v>1</v>
      </c>
      <c r="FJ21" t="s">
        <v>75</v>
      </c>
      <c r="FW21" t="s">
        <v>140</v>
      </c>
      <c r="FX21">
        <v>1</v>
      </c>
      <c r="FY21" t="s">
        <v>75</v>
      </c>
      <c r="GL21" t="s">
        <v>140</v>
      </c>
      <c r="GM21">
        <v>1</v>
      </c>
      <c r="GN21" t="s">
        <v>75</v>
      </c>
      <c r="HA21" t="s">
        <v>140</v>
      </c>
      <c r="HB21">
        <v>1</v>
      </c>
      <c r="HC21" t="s">
        <v>75</v>
      </c>
      <c r="HD21" s="157" t="s">
        <v>456</v>
      </c>
      <c r="HE21" s="158" t="s">
        <v>0</v>
      </c>
      <c r="HF21" s="159" t="s">
        <v>143</v>
      </c>
    </row>
    <row r="22" spans="1:214" ht="13.5" thickTop="1" x14ac:dyDescent="0.2">
      <c r="A22" t="s">
        <v>186</v>
      </c>
      <c r="B22" s="411">
        <v>30</v>
      </c>
      <c r="C22" t="s">
        <v>45</v>
      </c>
      <c r="D22" t="s">
        <v>452</v>
      </c>
      <c r="E22" s="1">
        <f>(E5*E9*E6)/((E14/E15)*(1-EXP(-E6*E9))*E10*E11)</f>
        <v>1.0427112699763091E-3</v>
      </c>
      <c r="F22" t="s">
        <v>37</v>
      </c>
      <c r="G22" t="s">
        <v>373</v>
      </c>
      <c r="H22" s="427">
        <f>(H29*H32*H23*H70)+(H30*H33*H24*H71)</f>
        <v>16326.153846153848</v>
      </c>
      <c r="I22" t="s">
        <v>213</v>
      </c>
      <c r="J22" t="s">
        <v>127</v>
      </c>
      <c r="K22">
        <f>B37</f>
        <v>100</v>
      </c>
      <c r="L22" t="s">
        <v>90</v>
      </c>
      <c r="M22" t="s">
        <v>458</v>
      </c>
      <c r="N22" s="1">
        <v>1</v>
      </c>
      <c r="O22" t="s">
        <v>459</v>
      </c>
      <c r="P22" t="s">
        <v>458</v>
      </c>
      <c r="Q22" s="1">
        <v>1</v>
      </c>
      <c r="R22" t="s">
        <v>459</v>
      </c>
      <c r="V22" s="88" t="s">
        <v>1</v>
      </c>
      <c r="W22" s="89" t="s">
        <v>5</v>
      </c>
      <c r="X22" s="89" t="s">
        <v>0</v>
      </c>
      <c r="Y22" s="248" t="s">
        <v>1</v>
      </c>
      <c r="Z22" s="89" t="s">
        <v>222</v>
      </c>
      <c r="AA22" s="90" t="s">
        <v>0</v>
      </c>
      <c r="AB22" t="s">
        <v>105</v>
      </c>
      <c r="AC22">
        <v>1</v>
      </c>
      <c r="AD22">
        <v>1</v>
      </c>
      <c r="AE22">
        <v>1</v>
      </c>
      <c r="AF22">
        <v>1</v>
      </c>
      <c r="AG22">
        <v>1</v>
      </c>
      <c r="AI22" t="s">
        <v>458</v>
      </c>
      <c r="AJ22" s="1">
        <v>1</v>
      </c>
      <c r="AK22" t="s">
        <v>459</v>
      </c>
      <c r="AL22" t="s">
        <v>458</v>
      </c>
      <c r="AM22" s="1">
        <v>1</v>
      </c>
      <c r="AN22" t="s">
        <v>459</v>
      </c>
      <c r="AR22" t="s">
        <v>458</v>
      </c>
      <c r="AS22" s="1">
        <v>1</v>
      </c>
      <c r="AT22" t="s">
        <v>459</v>
      </c>
      <c r="AU22" t="s">
        <v>458</v>
      </c>
      <c r="AV22" s="1">
        <v>1</v>
      </c>
      <c r="AW22" t="s">
        <v>459</v>
      </c>
      <c r="BA22" t="s">
        <v>458</v>
      </c>
      <c r="BB22" s="1">
        <v>1</v>
      </c>
      <c r="BC22" t="s">
        <v>459</v>
      </c>
      <c r="BD22" t="s">
        <v>458</v>
      </c>
      <c r="BE22" s="1">
        <v>1</v>
      </c>
      <c r="BF22" t="s">
        <v>459</v>
      </c>
      <c r="BJ22" t="s">
        <v>458</v>
      </c>
      <c r="BK22" s="1">
        <v>1</v>
      </c>
      <c r="BL22" t="s">
        <v>459</v>
      </c>
      <c r="BM22" t="s">
        <v>458</v>
      </c>
      <c r="BN22" s="1">
        <v>1</v>
      </c>
      <c r="BO22" t="s">
        <v>459</v>
      </c>
      <c r="BS22" t="s">
        <v>477</v>
      </c>
      <c r="BT22" s="1">
        <f>(BT5)/((BT14/24)*(BT8/365)*BT9*BT19*BT20)</f>
        <v>1484116.8996188056</v>
      </c>
      <c r="BU22" t="s">
        <v>36</v>
      </c>
      <c r="BV22" t="s">
        <v>401</v>
      </c>
      <c r="BW22">
        <v>1</v>
      </c>
      <c r="BY22" t="s">
        <v>221</v>
      </c>
      <c r="BZ22">
        <v>75</v>
      </c>
      <c r="CA22" t="s">
        <v>52</v>
      </c>
      <c r="CB22" t="s">
        <v>49</v>
      </c>
      <c r="CC22" s="1">
        <f>0.693/CC23</f>
        <v>1.6041666666666665E-3</v>
      </c>
      <c r="CE22" t="s">
        <v>49</v>
      </c>
      <c r="CF22" s="1">
        <f>0.693/CF23</f>
        <v>1.6041666666666665E-3</v>
      </c>
      <c r="CK22" t="s">
        <v>221</v>
      </c>
      <c r="CL22">
        <v>75</v>
      </c>
      <c r="CM22" t="s">
        <v>245</v>
      </c>
      <c r="CN22" t="s">
        <v>54</v>
      </c>
      <c r="CO22">
        <f>CO24</f>
        <v>0.25</v>
      </c>
      <c r="CR22">
        <v>1000</v>
      </c>
      <c r="CS22" t="s">
        <v>213</v>
      </c>
      <c r="CT22" t="s">
        <v>482</v>
      </c>
      <c r="CU22" s="1">
        <f>DY3</f>
        <v>726.3449151545824</v>
      </c>
      <c r="CV22" t="s">
        <v>22</v>
      </c>
      <c r="CW22" t="s">
        <v>452</v>
      </c>
      <c r="CX22" s="1">
        <f>(CX5*CX9*CX6)/((CX14/CX15)*(1-EXP(-CX6*CX9))*CX10*CX11)</f>
        <v>9.9718749311663657E-4</v>
      </c>
      <c r="CY22" t="s">
        <v>37</v>
      </c>
      <c r="CZ22" t="s">
        <v>483</v>
      </c>
      <c r="DA22" s="1">
        <f>GD3</f>
        <v>14720.339363106974</v>
      </c>
      <c r="DC22" t="s">
        <v>433</v>
      </c>
      <c r="DD22" s="1">
        <f>B49</f>
        <v>0.15</v>
      </c>
      <c r="DF22" t="s">
        <v>144</v>
      </c>
      <c r="DG22">
        <v>14</v>
      </c>
      <c r="DH22" t="s">
        <v>145</v>
      </c>
      <c r="DO22" t="s">
        <v>144</v>
      </c>
      <c r="DP22">
        <v>14</v>
      </c>
      <c r="DQ22" t="s">
        <v>145</v>
      </c>
      <c r="ED22" t="s">
        <v>144</v>
      </c>
      <c r="EE22">
        <v>14</v>
      </c>
      <c r="EF22" t="s">
        <v>145</v>
      </c>
      <c r="ES22" t="s">
        <v>144</v>
      </c>
      <c r="ET22">
        <v>14</v>
      </c>
      <c r="EU22" t="s">
        <v>145</v>
      </c>
      <c r="FH22" t="s">
        <v>144</v>
      </c>
      <c r="FI22">
        <v>14</v>
      </c>
      <c r="FJ22" t="s">
        <v>145</v>
      </c>
      <c r="FW22" t="s">
        <v>144</v>
      </c>
      <c r="FX22">
        <v>14</v>
      </c>
      <c r="FY22" t="s">
        <v>145</v>
      </c>
      <c r="GL22" t="s">
        <v>144</v>
      </c>
      <c r="GM22">
        <v>14</v>
      </c>
      <c r="GN22" t="s">
        <v>145</v>
      </c>
      <c r="HA22" t="s">
        <v>144</v>
      </c>
      <c r="HB22">
        <v>14</v>
      </c>
      <c r="HC22" t="s">
        <v>145</v>
      </c>
      <c r="HD22" s="160" t="s">
        <v>22</v>
      </c>
      <c r="HE22" s="161" t="s">
        <v>33</v>
      </c>
      <c r="HF22" s="162" t="s">
        <v>35</v>
      </c>
    </row>
    <row r="23" spans="1:214" x14ac:dyDescent="0.2">
      <c r="A23" t="s">
        <v>421</v>
      </c>
      <c r="B23" s="410">
        <v>1.9999999999999999E-6</v>
      </c>
      <c r="D23" t="s">
        <v>477</v>
      </c>
      <c r="E23" s="1">
        <f>(E5*E9*E6)/((E14/E15)*E8*E9*(1-EXP(-E6*E9))*E18*(1/365)*E19)</f>
        <v>13261.675029566244</v>
      </c>
      <c r="F23" t="s">
        <v>37</v>
      </c>
      <c r="G23" t="s">
        <v>374</v>
      </c>
      <c r="H23" s="1">
        <f>B40</f>
        <v>14.8</v>
      </c>
      <c r="I23" t="s">
        <v>380</v>
      </c>
      <c r="J23" t="s">
        <v>223</v>
      </c>
      <c r="K23">
        <f>B33</f>
        <v>10</v>
      </c>
      <c r="L23" t="s">
        <v>78</v>
      </c>
      <c r="M23" t="s">
        <v>58</v>
      </c>
      <c r="N23">
        <v>26</v>
      </c>
      <c r="O23" t="s">
        <v>59</v>
      </c>
      <c r="P23" t="s">
        <v>58</v>
      </c>
      <c r="Q23">
        <v>26</v>
      </c>
      <c r="R23" t="s">
        <v>59</v>
      </c>
      <c r="V23" s="91" t="s">
        <v>18</v>
      </c>
      <c r="W23" s="92" t="s">
        <v>456</v>
      </c>
      <c r="X23" s="92" t="s">
        <v>19</v>
      </c>
      <c r="Y23" s="249" t="s">
        <v>18</v>
      </c>
      <c r="Z23" s="92" t="s">
        <v>456</v>
      </c>
      <c r="AA23" s="93" t="s">
        <v>19</v>
      </c>
      <c r="AB23" t="s">
        <v>460</v>
      </c>
      <c r="AC23" s="1">
        <f>B9</f>
        <v>3.7100000000000001E-2</v>
      </c>
      <c r="AD23" s="1">
        <f>B9</f>
        <v>3.7100000000000001E-2</v>
      </c>
      <c r="AE23" s="1">
        <f>B9</f>
        <v>3.7100000000000001E-2</v>
      </c>
      <c r="AF23" s="1">
        <f>B9</f>
        <v>3.7100000000000001E-2</v>
      </c>
      <c r="AG23" s="1">
        <f>B9</f>
        <v>3.7100000000000001E-2</v>
      </c>
      <c r="AH23" t="s">
        <v>449</v>
      </c>
      <c r="AI23" t="s">
        <v>58</v>
      </c>
      <c r="AJ23">
        <v>25</v>
      </c>
      <c r="AK23" t="s">
        <v>59</v>
      </c>
      <c r="AL23" t="s">
        <v>58</v>
      </c>
      <c r="AM23">
        <v>25</v>
      </c>
      <c r="AN23" t="s">
        <v>59</v>
      </c>
      <c r="AR23" t="s">
        <v>58</v>
      </c>
      <c r="AS23">
        <v>25</v>
      </c>
      <c r="AT23" t="s">
        <v>59</v>
      </c>
      <c r="AU23" t="s">
        <v>58</v>
      </c>
      <c r="AV23">
        <v>25</v>
      </c>
      <c r="AW23" t="s">
        <v>59</v>
      </c>
      <c r="BA23" t="s">
        <v>58</v>
      </c>
      <c r="BB23">
        <v>25</v>
      </c>
      <c r="BC23" t="s">
        <v>59</v>
      </c>
      <c r="BD23" t="s">
        <v>58</v>
      </c>
      <c r="BE23">
        <v>25</v>
      </c>
      <c r="BF23" t="s">
        <v>59</v>
      </c>
      <c r="BJ23" t="s">
        <v>58</v>
      </c>
      <c r="BK23">
        <v>1</v>
      </c>
      <c r="BL23" t="s">
        <v>59</v>
      </c>
      <c r="BM23" t="s">
        <v>58</v>
      </c>
      <c r="BN23">
        <v>1</v>
      </c>
      <c r="BO23" t="s">
        <v>59</v>
      </c>
      <c r="BS23" t="s">
        <v>452</v>
      </c>
      <c r="BT23" s="1">
        <f>(BT5*BT28*BT6)/((1-EXP(-BT6*BT28))*BT10*BT11)</f>
        <v>7.0262305574971137E-2</v>
      </c>
      <c r="BU23" t="s">
        <v>37</v>
      </c>
      <c r="BV23" t="s">
        <v>399</v>
      </c>
      <c r="BW23">
        <v>1</v>
      </c>
      <c r="BX23" t="s">
        <v>164</v>
      </c>
      <c r="BY23" t="s">
        <v>73</v>
      </c>
      <c r="BZ23">
        <v>75</v>
      </c>
      <c r="CA23" t="s">
        <v>52</v>
      </c>
      <c r="CB23" t="s">
        <v>411</v>
      </c>
      <c r="CC23" s="1">
        <f>B17</f>
        <v>432</v>
      </c>
      <c r="CD23" t="s">
        <v>119</v>
      </c>
      <c r="CE23" t="s">
        <v>411</v>
      </c>
      <c r="CF23" s="1">
        <f>B17</f>
        <v>432</v>
      </c>
      <c r="CG23" t="s">
        <v>119</v>
      </c>
      <c r="CK23" t="s">
        <v>99</v>
      </c>
      <c r="CL23">
        <v>1</v>
      </c>
      <c r="CM23" t="s">
        <v>253</v>
      </c>
      <c r="CN23" t="s">
        <v>64</v>
      </c>
      <c r="CO23" s="1">
        <f>B31</f>
        <v>5.0000000000000001E-3</v>
      </c>
      <c r="CT23" t="s">
        <v>483</v>
      </c>
      <c r="CU23" s="1">
        <f>GG3</f>
        <v>103.19125136315641</v>
      </c>
      <c r="CV23" t="s">
        <v>22</v>
      </c>
      <c r="CW23" t="s">
        <v>477</v>
      </c>
      <c r="CX23" s="1">
        <f>(CX5*CX9*CX6)/((CX14/CX15)*CX8*CX9*(1-EXP(-CX6*CX9))*CX18*(1/365)*CX19)</f>
        <v>13261.675029566244</v>
      </c>
      <c r="CY23" t="s">
        <v>37</v>
      </c>
      <c r="CZ23" t="s">
        <v>484</v>
      </c>
      <c r="DA23" s="1">
        <f>FO3</f>
        <v>1.1776271490485581</v>
      </c>
      <c r="DC23" t="s">
        <v>432</v>
      </c>
      <c r="DD23" s="1">
        <f>B50</f>
        <v>0.85</v>
      </c>
      <c r="DF23" t="s">
        <v>458</v>
      </c>
      <c r="DG23" s="1">
        <f>B21</f>
        <v>157680</v>
      </c>
      <c r="DH23" t="s">
        <v>381</v>
      </c>
      <c r="DO23" t="s">
        <v>46</v>
      </c>
      <c r="DP23">
        <f>DP25</f>
        <v>5.0000000000000002E-5</v>
      </c>
      <c r="ED23" t="s">
        <v>46</v>
      </c>
      <c r="EE23">
        <f>EE25</f>
        <v>6.0000000000000001E-3</v>
      </c>
      <c r="ES23" t="s">
        <v>46</v>
      </c>
      <c r="ET23">
        <f>ET25</f>
        <v>6.0000000000000001E-3</v>
      </c>
      <c r="FH23" t="s">
        <v>46</v>
      </c>
      <c r="FI23">
        <v>0.2</v>
      </c>
      <c r="FW23" t="s">
        <v>46</v>
      </c>
      <c r="FX23">
        <f>FX25</f>
        <v>0.2</v>
      </c>
      <c r="GL23" t="s">
        <v>46</v>
      </c>
      <c r="GM23">
        <f>GM25</f>
        <v>5.0000000000000001E-3</v>
      </c>
      <c r="HA23" t="s">
        <v>46</v>
      </c>
      <c r="HB23">
        <f>HB25</f>
        <v>5.0000000000000001E-3</v>
      </c>
      <c r="HD23" s="302">
        <f>(HE25*HE33*HE38*HE32*10^-3*HE31*HE27)/(HE30*HE41*(1-EXP(-HE27*HE31)))</f>
        <v>0.4286492240152649</v>
      </c>
      <c r="HE23" s="303"/>
      <c r="HF23" s="162" t="s">
        <v>38</v>
      </c>
    </row>
    <row r="24" spans="1:214" ht="13.5" thickBot="1" x14ac:dyDescent="0.25">
      <c r="A24" t="s">
        <v>418</v>
      </c>
      <c r="B24" s="410">
        <v>5.0000000000000002E-5</v>
      </c>
      <c r="D24" t="s">
        <v>225</v>
      </c>
      <c r="E24">
        <v>350</v>
      </c>
      <c r="F24" t="s">
        <v>52</v>
      </c>
      <c r="G24" t="s">
        <v>375</v>
      </c>
      <c r="H24" s="1">
        <f>B41</f>
        <v>56.2</v>
      </c>
      <c r="I24" t="s">
        <v>380</v>
      </c>
      <c r="J24" t="s">
        <v>224</v>
      </c>
      <c r="K24">
        <f>B34</f>
        <v>20</v>
      </c>
      <c r="L24" t="s">
        <v>78</v>
      </c>
      <c r="M24" t="s">
        <v>49</v>
      </c>
      <c r="N24" s="1">
        <f>0.693/N25</f>
        <v>1.6041666666666665E-3</v>
      </c>
      <c r="P24" t="s">
        <v>49</v>
      </c>
      <c r="Q24" s="1">
        <f>0.693/Q25</f>
        <v>1.6041666666666665E-3</v>
      </c>
      <c r="V24" s="91" t="s">
        <v>37</v>
      </c>
      <c r="W24" s="94">
        <f>1/((1/W39)+(1/W40))</f>
        <v>1.2913577736464784E-3</v>
      </c>
      <c r="X24" s="127"/>
      <c r="Y24" s="250" t="s">
        <v>37</v>
      </c>
      <c r="Z24" s="94">
        <f>1/((1/Z37)+(1/Z38))</f>
        <v>1.2913577736464782E-3</v>
      </c>
      <c r="AA24" s="95"/>
      <c r="AB24" t="s">
        <v>436</v>
      </c>
      <c r="AC24" s="1">
        <f>B5</f>
        <v>0.155</v>
      </c>
      <c r="AD24" s="1">
        <f>B5</f>
        <v>0.155</v>
      </c>
      <c r="AE24" s="1">
        <f>B5</f>
        <v>0.155</v>
      </c>
      <c r="AF24" s="1">
        <f>B5</f>
        <v>0.155</v>
      </c>
      <c r="AG24" s="1">
        <f>B5</f>
        <v>0.155</v>
      </c>
      <c r="AH24" t="s">
        <v>448</v>
      </c>
      <c r="AI24" t="s">
        <v>49</v>
      </c>
      <c r="AJ24" s="1">
        <f>0.693/AJ25</f>
        <v>1.6041666666666665E-3</v>
      </c>
      <c r="AL24" t="s">
        <v>49</v>
      </c>
      <c r="AM24" s="1">
        <f>0.693/AM25</f>
        <v>1.6041666666666665E-3</v>
      </c>
      <c r="AR24" t="s">
        <v>49</v>
      </c>
      <c r="AS24" s="1">
        <f>0.693/AS25</f>
        <v>1.6041666666666665E-3</v>
      </c>
      <c r="AU24" t="s">
        <v>49</v>
      </c>
      <c r="AV24" s="1">
        <f>0.693/AV25</f>
        <v>1.6041666666666665E-3</v>
      </c>
      <c r="BA24" t="s">
        <v>49</v>
      </c>
      <c r="BB24" s="1">
        <f>0.693/BB25</f>
        <v>1.6041666666666665E-3</v>
      </c>
      <c r="BD24" t="s">
        <v>49</v>
      </c>
      <c r="BE24" s="1">
        <f>0.693/BE25</f>
        <v>1.6041666666666665E-3</v>
      </c>
      <c r="BJ24" t="s">
        <v>49</v>
      </c>
      <c r="BK24" s="1">
        <f>0.693/BK25</f>
        <v>1.6041666666666665E-3</v>
      </c>
      <c r="BM24" t="s">
        <v>49</v>
      </c>
      <c r="BN24" s="1">
        <f>0.693/BN25</f>
        <v>1.6041666666666665E-3</v>
      </c>
      <c r="BS24" t="s">
        <v>477</v>
      </c>
      <c r="BT24" s="1">
        <f>(BT5*BT28*BT6)/((BT14/24)*(BT8/365)*BT9*(1-EXP(-BT6*BT28))*BT19*BT20)</f>
        <v>1515282.0601921189</v>
      </c>
      <c r="BU24" t="s">
        <v>37</v>
      </c>
      <c r="BV24" t="s">
        <v>398</v>
      </c>
      <c r="BW24">
        <v>1</v>
      </c>
      <c r="BX24" t="s">
        <v>164</v>
      </c>
      <c r="BY24" t="s">
        <v>67</v>
      </c>
      <c r="BZ24">
        <v>75</v>
      </c>
      <c r="CA24" t="s">
        <v>52</v>
      </c>
      <c r="CB24" t="s">
        <v>51</v>
      </c>
      <c r="CC24">
        <v>75</v>
      </c>
      <c r="CD24" t="s">
        <v>60</v>
      </c>
      <c r="CE24" t="s">
        <v>51</v>
      </c>
      <c r="CF24">
        <v>75</v>
      </c>
      <c r="CG24" t="s">
        <v>60</v>
      </c>
      <c r="CK24" t="s">
        <v>304</v>
      </c>
      <c r="CL24" s="17">
        <v>1</v>
      </c>
      <c r="CM24" t="s">
        <v>380</v>
      </c>
      <c r="CN24" t="s">
        <v>311</v>
      </c>
      <c r="CO24" s="17">
        <v>0.25</v>
      </c>
      <c r="CT24" t="s">
        <v>484</v>
      </c>
      <c r="CU24" s="1">
        <f>FR3</f>
        <v>9.6565426221981755E-3</v>
      </c>
      <c r="CV24" t="s">
        <v>22</v>
      </c>
      <c r="CW24" t="s">
        <v>225</v>
      </c>
      <c r="CX24">
        <v>350</v>
      </c>
      <c r="CY24" t="s">
        <v>52</v>
      </c>
      <c r="CZ24" t="s">
        <v>81</v>
      </c>
      <c r="DA24" s="427">
        <f>(DA35*DA37*DA27*DA51)+(DA36*DA38*DA28*DA52)</f>
        <v>784.7</v>
      </c>
      <c r="DB24" t="s">
        <v>180</v>
      </c>
      <c r="DG24">
        <v>1000</v>
      </c>
      <c r="DO24" t="s">
        <v>54</v>
      </c>
      <c r="DP24">
        <f>DP26</f>
        <v>0.26</v>
      </c>
      <c r="ED24" t="s">
        <v>54</v>
      </c>
      <c r="EE24">
        <f>EE26</f>
        <v>0.25</v>
      </c>
      <c r="ES24" t="s">
        <v>54</v>
      </c>
      <c r="ET24">
        <f>ET26</f>
        <v>0.25</v>
      </c>
      <c r="FH24" t="s">
        <v>54</v>
      </c>
      <c r="FI24">
        <v>0.25</v>
      </c>
      <c r="FW24" t="s">
        <v>54</v>
      </c>
      <c r="FX24">
        <f>FX26</f>
        <v>0.25</v>
      </c>
      <c r="GL24" t="s">
        <v>54</v>
      </c>
      <c r="GM24">
        <f>GM26</f>
        <v>0.25</v>
      </c>
      <c r="HA24" t="s">
        <v>54</v>
      </c>
      <c r="HB24">
        <f>HB26</f>
        <v>0.25</v>
      </c>
      <c r="HD24" s="304">
        <f>(HE26*HE33*HE38*HE32*10^-3*HE31*HE27)/(HE30*HE41*(1-EXP(-HE27*HE31)))</f>
        <v>5.9471793109789534E-5</v>
      </c>
      <c r="HE24" s="305"/>
      <c r="HF24" s="306" t="s">
        <v>43</v>
      </c>
    </row>
    <row r="25" spans="1:214" ht="14.25" thickTop="1" thickBot="1" x14ac:dyDescent="0.25">
      <c r="A25" t="s">
        <v>419</v>
      </c>
      <c r="B25" s="410">
        <v>6.0000000000000001E-3</v>
      </c>
      <c r="D25" t="s">
        <v>226</v>
      </c>
      <c r="E25">
        <v>350</v>
      </c>
      <c r="F25" t="s">
        <v>52</v>
      </c>
      <c r="G25" t="s">
        <v>372</v>
      </c>
      <c r="H25" s="427">
        <f>(H29*H32*H26*H70)+(H30*H33*H27*H71)</f>
        <v>8513.0769230769238</v>
      </c>
      <c r="I25" t="s">
        <v>213</v>
      </c>
      <c r="J25" t="s">
        <v>373</v>
      </c>
      <c r="K25" s="427">
        <f>(K31*K35*K26*K53)+(K32*K34*K27*K54)</f>
        <v>16326.153846153848</v>
      </c>
      <c r="L25" t="s">
        <v>213</v>
      </c>
      <c r="M25" t="s">
        <v>411</v>
      </c>
      <c r="N25" s="1">
        <f>B17</f>
        <v>432</v>
      </c>
      <c r="O25" t="s">
        <v>119</v>
      </c>
      <c r="P25" t="s">
        <v>411</v>
      </c>
      <c r="Q25" s="1">
        <f>B17</f>
        <v>432</v>
      </c>
      <c r="R25" t="s">
        <v>119</v>
      </c>
      <c r="V25" s="130" t="s">
        <v>36</v>
      </c>
      <c r="W25" s="96">
        <f>1/((1/W37)+(1/W38))</f>
        <v>1.2903225507295965E-3</v>
      </c>
      <c r="X25" s="128"/>
      <c r="Y25" s="251" t="s">
        <v>36</v>
      </c>
      <c r="Z25" s="129">
        <f>1/((1/Z39)+(1/Z40))</f>
        <v>1.2903225507295965E-3</v>
      </c>
      <c r="AA25" s="97"/>
      <c r="AC25" s="1"/>
      <c r="AD25" s="1"/>
      <c r="AE25" s="1"/>
      <c r="AI25" t="s">
        <v>411</v>
      </c>
      <c r="AJ25" s="1">
        <f>B17</f>
        <v>432</v>
      </c>
      <c r="AK25" t="s">
        <v>119</v>
      </c>
      <c r="AL25" t="s">
        <v>411</v>
      </c>
      <c r="AM25" s="1">
        <f>B17</f>
        <v>432</v>
      </c>
      <c r="AN25" t="s">
        <v>119</v>
      </c>
      <c r="AR25" t="s">
        <v>411</v>
      </c>
      <c r="AS25" s="1">
        <f>B17</f>
        <v>432</v>
      </c>
      <c r="AT25" t="s">
        <v>119</v>
      </c>
      <c r="AU25" t="s">
        <v>411</v>
      </c>
      <c r="AV25" s="1">
        <f>B17</f>
        <v>432</v>
      </c>
      <c r="AW25" t="s">
        <v>119</v>
      </c>
      <c r="BA25" t="s">
        <v>411</v>
      </c>
      <c r="BB25" s="1">
        <f>B17</f>
        <v>432</v>
      </c>
      <c r="BC25" t="s">
        <v>119</v>
      </c>
      <c r="BD25" t="s">
        <v>411</v>
      </c>
      <c r="BE25" s="1">
        <f>B17</f>
        <v>432</v>
      </c>
      <c r="BF25" t="s">
        <v>119</v>
      </c>
      <c r="BJ25" t="s">
        <v>411</v>
      </c>
      <c r="BK25" s="1">
        <f>B17</f>
        <v>432</v>
      </c>
      <c r="BL25" t="s">
        <v>119</v>
      </c>
      <c r="BM25" t="s">
        <v>411</v>
      </c>
      <c r="BN25" s="1">
        <f>B17</f>
        <v>432</v>
      </c>
      <c r="BO25" t="s">
        <v>119</v>
      </c>
      <c r="BS25" t="s">
        <v>225</v>
      </c>
      <c r="BT25">
        <v>75</v>
      </c>
      <c r="BU25" t="s">
        <v>52</v>
      </c>
      <c r="BV25" t="s">
        <v>400</v>
      </c>
      <c r="BW25">
        <v>1</v>
      </c>
      <c r="BX25" t="s">
        <v>80</v>
      </c>
      <c r="BY25" t="s">
        <v>99</v>
      </c>
      <c r="BZ25">
        <v>1</v>
      </c>
      <c r="CA25" t="s">
        <v>119</v>
      </c>
      <c r="CB25" t="s">
        <v>65</v>
      </c>
      <c r="CC25">
        <v>1</v>
      </c>
      <c r="CD25" t="s">
        <v>59</v>
      </c>
      <c r="CE25" t="s">
        <v>65</v>
      </c>
      <c r="CF25">
        <v>1</v>
      </c>
      <c r="CG25" t="s">
        <v>59</v>
      </c>
      <c r="CN25" t="s">
        <v>309</v>
      </c>
      <c r="CO25" s="17">
        <v>1</v>
      </c>
      <c r="CP25" t="s">
        <v>431</v>
      </c>
      <c r="CT25" t="s">
        <v>82</v>
      </c>
      <c r="CU25" s="428">
        <f>(CU27*CU31*CU35*CU49)+(CU28*CU32*CU34*CU50)</f>
        <v>40250</v>
      </c>
      <c r="CV25" t="s">
        <v>406</v>
      </c>
      <c r="CW25" t="s">
        <v>226</v>
      </c>
      <c r="CX25">
        <v>350</v>
      </c>
      <c r="CY25" t="s">
        <v>52</v>
      </c>
      <c r="CZ25" t="s">
        <v>77</v>
      </c>
      <c r="DA25" s="427">
        <f>(DA35*DA37*DA29*(DA40/24)*DA51)+(DA36*DA38*DA30*(DA41/24)*DA52)</f>
        <v>6475</v>
      </c>
      <c r="DB25" t="s">
        <v>407</v>
      </c>
      <c r="DO25" t="s">
        <v>63</v>
      </c>
      <c r="DP25">
        <f>B28</f>
        <v>5.0000000000000002E-5</v>
      </c>
      <c r="ED25" t="s">
        <v>64</v>
      </c>
      <c r="EE25">
        <f>B29</f>
        <v>6.0000000000000001E-3</v>
      </c>
      <c r="ES25" t="s">
        <v>64</v>
      </c>
      <c r="ET25">
        <f>B29</f>
        <v>6.0000000000000001E-3</v>
      </c>
      <c r="FH25" t="s">
        <v>64</v>
      </c>
      <c r="FI25">
        <v>5.0000000000000001E-3</v>
      </c>
      <c r="FW25" t="s">
        <v>64</v>
      </c>
      <c r="FX25">
        <v>0.2</v>
      </c>
      <c r="GL25" t="s">
        <v>64</v>
      </c>
      <c r="GM25">
        <v>5.0000000000000001E-3</v>
      </c>
      <c r="HA25" t="s">
        <v>64</v>
      </c>
      <c r="HB25">
        <v>5.0000000000000001E-3</v>
      </c>
      <c r="HD25" s="2" t="s">
        <v>48</v>
      </c>
      <c r="HE25" s="1">
        <v>15</v>
      </c>
      <c r="HF25" t="s">
        <v>24</v>
      </c>
    </row>
    <row r="26" spans="1:214" ht="13.5" thickTop="1" x14ac:dyDescent="0.2">
      <c r="A26" t="s">
        <v>319</v>
      </c>
      <c r="B26" s="410">
        <v>4.0000000000000001E-3</v>
      </c>
      <c r="D26" t="s">
        <v>435</v>
      </c>
      <c r="E26" s="1">
        <f>B47</f>
        <v>0.23076923076923078</v>
      </c>
      <c r="G26" t="s">
        <v>370</v>
      </c>
      <c r="H26" s="1">
        <f>B42</f>
        <v>10.4</v>
      </c>
      <c r="I26" t="s">
        <v>380</v>
      </c>
      <c r="J26" t="s">
        <v>374</v>
      </c>
      <c r="K26" s="1">
        <f>B40</f>
        <v>14.8</v>
      </c>
      <c r="L26" t="s">
        <v>380</v>
      </c>
      <c r="M26" t="s">
        <v>51</v>
      </c>
      <c r="N26">
        <v>350</v>
      </c>
      <c r="O26" t="s">
        <v>60</v>
      </c>
      <c r="P26" t="s">
        <v>51</v>
      </c>
      <c r="Q26">
        <v>350</v>
      </c>
      <c r="R26" t="s">
        <v>60</v>
      </c>
      <c r="V26" t="s">
        <v>458</v>
      </c>
      <c r="W26" s="1">
        <v>1</v>
      </c>
      <c r="X26" t="s">
        <v>459</v>
      </c>
      <c r="Y26" t="s">
        <v>458</v>
      </c>
      <c r="Z26" s="1">
        <v>1</v>
      </c>
      <c r="AA26" t="s">
        <v>459</v>
      </c>
      <c r="AC26" s="1"/>
      <c r="AD26" s="1"/>
      <c r="AE26" s="1"/>
      <c r="AI26" t="s">
        <v>51</v>
      </c>
      <c r="AJ26">
        <v>250</v>
      </c>
      <c r="AK26" t="s">
        <v>60</v>
      </c>
      <c r="AL26" t="s">
        <v>51</v>
      </c>
      <c r="AM26">
        <v>250</v>
      </c>
      <c r="AN26" t="s">
        <v>60</v>
      </c>
      <c r="AR26" t="s">
        <v>51</v>
      </c>
      <c r="AS26">
        <v>225</v>
      </c>
      <c r="AT26" t="s">
        <v>60</v>
      </c>
      <c r="AU26" t="s">
        <v>51</v>
      </c>
      <c r="AV26">
        <v>225</v>
      </c>
      <c r="AW26" t="s">
        <v>60</v>
      </c>
      <c r="BA26" t="s">
        <v>51</v>
      </c>
      <c r="BB26">
        <v>250</v>
      </c>
      <c r="BC26" t="s">
        <v>60</v>
      </c>
      <c r="BD26" t="s">
        <v>51</v>
      </c>
      <c r="BE26">
        <v>250</v>
      </c>
      <c r="BF26" t="s">
        <v>60</v>
      </c>
      <c r="BJ26" t="s">
        <v>51</v>
      </c>
      <c r="BK26">
        <f>BK27*BK28</f>
        <v>250</v>
      </c>
      <c r="BL26" t="s">
        <v>60</v>
      </c>
      <c r="BM26" t="s">
        <v>51</v>
      </c>
      <c r="BN26">
        <f>BN27*BN28</f>
        <v>250</v>
      </c>
      <c r="BO26" t="s">
        <v>60</v>
      </c>
      <c r="BS26" t="s">
        <v>226</v>
      </c>
      <c r="BT26">
        <v>75</v>
      </c>
      <c r="BU26" t="s">
        <v>52</v>
      </c>
      <c r="BV26" t="s">
        <v>151</v>
      </c>
      <c r="BW26">
        <v>1</v>
      </c>
      <c r="BX26" t="s">
        <v>152</v>
      </c>
      <c r="BY26" t="s">
        <v>98</v>
      </c>
      <c r="BZ26">
        <v>1</v>
      </c>
      <c r="CA26" t="s">
        <v>119</v>
      </c>
      <c r="CB26" t="s">
        <v>463</v>
      </c>
      <c r="CC26">
        <v>1.5699999999999999E-5</v>
      </c>
      <c r="CE26" t="s">
        <v>463</v>
      </c>
      <c r="CF26">
        <v>1.35E-4</v>
      </c>
      <c r="CN26" t="s">
        <v>312</v>
      </c>
      <c r="CO26" s="17">
        <v>1</v>
      </c>
      <c r="CP26" t="s">
        <v>431</v>
      </c>
      <c r="CT26" t="s">
        <v>77</v>
      </c>
      <c r="CU26" s="428">
        <f>((CU35*CU31*CU29*CU49)+(CU34*CU32*CU30*CU50))</f>
        <v>6475</v>
      </c>
      <c r="CV26" t="s">
        <v>407</v>
      </c>
      <c r="CW26" t="s">
        <v>433</v>
      </c>
      <c r="CX26" s="1">
        <f>B49</f>
        <v>0.15</v>
      </c>
      <c r="CZ26" t="s">
        <v>240</v>
      </c>
      <c r="DA26" s="427">
        <f>(DA35*DA37*DA42*DA44*DA51)+(DA36*DA38*DA43*DA45*DA52)</f>
        <v>239.57499999999999</v>
      </c>
      <c r="DB26" t="s">
        <v>408</v>
      </c>
      <c r="DF26" t="s">
        <v>64</v>
      </c>
      <c r="DG26">
        <f>B29</f>
        <v>6.0000000000000001E-3</v>
      </c>
      <c r="DO26" t="s">
        <v>70</v>
      </c>
      <c r="DP26">
        <v>0.26</v>
      </c>
      <c r="ED26" t="s">
        <v>70</v>
      </c>
      <c r="EE26">
        <v>0.25</v>
      </c>
      <c r="ES26" t="s">
        <v>70</v>
      </c>
      <c r="ET26">
        <v>0.25</v>
      </c>
      <c r="FH26" t="s">
        <v>290</v>
      </c>
      <c r="FI26">
        <v>0.25</v>
      </c>
      <c r="FW26" t="s">
        <v>285</v>
      </c>
      <c r="FX26">
        <v>0.25</v>
      </c>
      <c r="GL26" t="s">
        <v>279</v>
      </c>
      <c r="GM26">
        <v>0.25</v>
      </c>
      <c r="HA26" t="s">
        <v>284</v>
      </c>
      <c r="HB26">
        <v>0.25</v>
      </c>
      <c r="HD26" t="s">
        <v>456</v>
      </c>
      <c r="HE26" s="1">
        <f>H3</f>
        <v>2.0811349855962289E-3</v>
      </c>
      <c r="HF26" t="s">
        <v>24</v>
      </c>
    </row>
    <row r="27" spans="1:214" ht="12.75" customHeight="1" x14ac:dyDescent="0.2">
      <c r="A27" t="s">
        <v>420</v>
      </c>
      <c r="B27" s="412">
        <v>1.7000000000000001E-4</v>
      </c>
      <c r="D27" t="s">
        <v>434</v>
      </c>
      <c r="E27" s="1">
        <f>B48</f>
        <v>0.76923076923076927</v>
      </c>
      <c r="G27" t="s">
        <v>371</v>
      </c>
      <c r="H27" s="1">
        <f>B43</f>
        <v>28.5</v>
      </c>
      <c r="I27" t="s">
        <v>380</v>
      </c>
      <c r="J27" t="s">
        <v>375</v>
      </c>
      <c r="K27" s="1">
        <f>B41</f>
        <v>56.2</v>
      </c>
      <c r="L27" t="s">
        <v>380</v>
      </c>
      <c r="M27" t="s">
        <v>65</v>
      </c>
      <c r="N27">
        <v>1</v>
      </c>
      <c r="O27" t="s">
        <v>59</v>
      </c>
      <c r="P27" t="s">
        <v>65</v>
      </c>
      <c r="Q27">
        <v>1</v>
      </c>
      <c r="R27" t="s">
        <v>59</v>
      </c>
      <c r="V27" t="s">
        <v>49</v>
      </c>
      <c r="W27" s="1">
        <f>0.693/W28</f>
        <v>1.6041666666666665E-3</v>
      </c>
      <c r="Y27" t="s">
        <v>49</v>
      </c>
      <c r="Z27" s="1">
        <f>0.693/Z28</f>
        <v>1.6041666666666665E-3</v>
      </c>
      <c r="AB27" t="s">
        <v>65</v>
      </c>
      <c r="AC27">
        <v>25</v>
      </c>
      <c r="AD27">
        <v>25</v>
      </c>
      <c r="AE27">
        <v>25</v>
      </c>
      <c r="AF27">
        <v>1</v>
      </c>
      <c r="AG27">
        <v>1</v>
      </c>
      <c r="AH27" t="s">
        <v>119</v>
      </c>
      <c r="AI27" t="s">
        <v>65</v>
      </c>
      <c r="AJ27">
        <v>1</v>
      </c>
      <c r="AK27" t="s">
        <v>59</v>
      </c>
      <c r="AL27" t="s">
        <v>65</v>
      </c>
      <c r="AM27">
        <v>1</v>
      </c>
      <c r="AN27" t="s">
        <v>59</v>
      </c>
      <c r="AR27" t="s">
        <v>65</v>
      </c>
      <c r="AS27">
        <v>1</v>
      </c>
      <c r="AT27" t="s">
        <v>59</v>
      </c>
      <c r="AU27" t="s">
        <v>65</v>
      </c>
      <c r="AV27">
        <v>1</v>
      </c>
      <c r="AW27" t="s">
        <v>59</v>
      </c>
      <c r="BA27" t="s">
        <v>65</v>
      </c>
      <c r="BB27">
        <v>1</v>
      </c>
      <c r="BC27" t="s">
        <v>59</v>
      </c>
      <c r="BD27" t="s">
        <v>65</v>
      </c>
      <c r="BE27">
        <v>1</v>
      </c>
      <c r="BF27" t="s">
        <v>59</v>
      </c>
      <c r="BJ27" t="s">
        <v>378</v>
      </c>
      <c r="BK27">
        <v>50</v>
      </c>
      <c r="BL27" t="s">
        <v>389</v>
      </c>
      <c r="BM27" t="s">
        <v>378</v>
      </c>
      <c r="BN27">
        <v>50</v>
      </c>
      <c r="BO27" t="s">
        <v>389</v>
      </c>
      <c r="BS27" t="s">
        <v>221</v>
      </c>
      <c r="BT27">
        <v>75</v>
      </c>
      <c r="BU27" t="s">
        <v>52</v>
      </c>
      <c r="BV27" t="s">
        <v>153</v>
      </c>
      <c r="BW27">
        <v>1</v>
      </c>
      <c r="BX27" t="s">
        <v>152</v>
      </c>
      <c r="BY27" t="s">
        <v>83</v>
      </c>
      <c r="BZ27">
        <v>1</v>
      </c>
      <c r="CA27" t="s">
        <v>119</v>
      </c>
      <c r="CB27" t="s">
        <v>105</v>
      </c>
      <c r="CC27">
        <v>0.80900000000000005</v>
      </c>
      <c r="CE27" t="s">
        <v>105</v>
      </c>
      <c r="CF27">
        <v>0.71099999999999997</v>
      </c>
      <c r="CN27" t="s">
        <v>313</v>
      </c>
      <c r="CO27" s="17">
        <v>1</v>
      </c>
      <c r="CP27" t="s">
        <v>75</v>
      </c>
      <c r="CT27" t="s">
        <v>108</v>
      </c>
      <c r="CU27">
        <f>B36</f>
        <v>200</v>
      </c>
      <c r="CV27" t="s">
        <v>90</v>
      </c>
      <c r="CW27" t="s">
        <v>432</v>
      </c>
      <c r="CX27" s="1">
        <f>B50</f>
        <v>0.85</v>
      </c>
      <c r="CZ27" t="s">
        <v>97</v>
      </c>
      <c r="DA27">
        <f>B38</f>
        <v>0.78</v>
      </c>
      <c r="DB27" t="s">
        <v>56</v>
      </c>
      <c r="EB27" s="1"/>
      <c r="ED27" t="s">
        <v>317</v>
      </c>
      <c r="EE27" s="1">
        <f>B23</f>
        <v>1.9999999999999999E-6</v>
      </c>
      <c r="EQ27" s="1"/>
      <c r="ES27" t="s">
        <v>318</v>
      </c>
      <c r="ET27" s="1">
        <f>B24</f>
        <v>5.0000000000000002E-5</v>
      </c>
      <c r="FH27" t="s">
        <v>319</v>
      </c>
      <c r="FI27" s="406">
        <f>B26</f>
        <v>4.0000000000000001E-3</v>
      </c>
      <c r="FW27" t="s">
        <v>320</v>
      </c>
      <c r="FX27" s="17">
        <v>1</v>
      </c>
      <c r="GL27" t="s">
        <v>321</v>
      </c>
      <c r="GM27" s="406">
        <f>B25</f>
        <v>6.0000000000000001E-3</v>
      </c>
      <c r="HA27" t="s">
        <v>322</v>
      </c>
      <c r="HB27" s="406">
        <f>B27</f>
        <v>1.7000000000000001E-4</v>
      </c>
      <c r="HD27" t="s">
        <v>49</v>
      </c>
      <c r="HE27" s="1">
        <f>0.693/HE28</f>
        <v>1.6041666666666665E-3</v>
      </c>
    </row>
    <row r="28" spans="1:214" ht="15" thickBot="1" x14ac:dyDescent="0.25">
      <c r="A28" t="s">
        <v>396</v>
      </c>
      <c r="B28" s="411">
        <v>5.0000000000000002E-5</v>
      </c>
      <c r="G28" t="s">
        <v>131</v>
      </c>
      <c r="H28">
        <v>0.5</v>
      </c>
      <c r="I28" t="s">
        <v>132</v>
      </c>
      <c r="J28" t="s">
        <v>372</v>
      </c>
      <c r="K28" s="427">
        <f>(K31*K35*K29*K53)+(K32*K34*K30*K54)</f>
        <v>8513.0769230769238</v>
      </c>
      <c r="L28" t="s">
        <v>213</v>
      </c>
      <c r="M28" t="s">
        <v>462</v>
      </c>
      <c r="N28">
        <v>0.4</v>
      </c>
      <c r="P28" t="s">
        <v>462</v>
      </c>
      <c r="Q28">
        <v>0.4</v>
      </c>
      <c r="V28" t="s">
        <v>411</v>
      </c>
      <c r="W28" s="1">
        <f>B17</f>
        <v>432</v>
      </c>
      <c r="X28" t="s">
        <v>119</v>
      </c>
      <c r="Y28" t="s">
        <v>411</v>
      </c>
      <c r="Z28" s="1">
        <f>B17</f>
        <v>432</v>
      </c>
      <c r="AA28" t="s">
        <v>119</v>
      </c>
      <c r="AB28" t="s">
        <v>155</v>
      </c>
      <c r="AC28" s="1">
        <f t="shared" ref="AC28:AF29" si="0">8/24</f>
        <v>0.33333333333333331</v>
      </c>
      <c r="AD28" s="1">
        <f t="shared" si="0"/>
        <v>0.33333333333333331</v>
      </c>
      <c r="AE28" s="1">
        <f t="shared" si="0"/>
        <v>0.33333333333333331</v>
      </c>
      <c r="AF28" s="1">
        <f t="shared" si="0"/>
        <v>0.33333333333333331</v>
      </c>
      <c r="AG28" s="1">
        <f>8/24</f>
        <v>0.33333333333333331</v>
      </c>
      <c r="AI28" t="s">
        <v>462</v>
      </c>
      <c r="AJ28">
        <v>0.4</v>
      </c>
      <c r="AL28" t="s">
        <v>462</v>
      </c>
      <c r="AM28">
        <v>0.4</v>
      </c>
      <c r="AR28" t="s">
        <v>462</v>
      </c>
      <c r="AS28">
        <v>0.4</v>
      </c>
      <c r="BA28" t="s">
        <v>462</v>
      </c>
      <c r="BB28">
        <v>0.4</v>
      </c>
      <c r="BJ28" t="s">
        <v>377</v>
      </c>
      <c r="BK28">
        <v>5</v>
      </c>
      <c r="BL28" t="s">
        <v>390</v>
      </c>
      <c r="BM28" t="s">
        <v>377</v>
      </c>
      <c r="BN28">
        <v>5</v>
      </c>
      <c r="BO28" t="s">
        <v>390</v>
      </c>
      <c r="BS28" t="s">
        <v>174</v>
      </c>
      <c r="BT28">
        <v>26</v>
      </c>
      <c r="BU28" t="s">
        <v>119</v>
      </c>
      <c r="BW28">
        <f>1/1000</f>
        <v>1E-3</v>
      </c>
      <c r="BX28" t="s">
        <v>154</v>
      </c>
      <c r="BY28" t="s">
        <v>166</v>
      </c>
      <c r="BZ28">
        <v>1</v>
      </c>
      <c r="CA28" t="s">
        <v>80</v>
      </c>
      <c r="CB28" t="s">
        <v>166</v>
      </c>
      <c r="CC28">
        <v>1</v>
      </c>
      <c r="CD28" t="s">
        <v>117</v>
      </c>
      <c r="CE28" t="s">
        <v>166</v>
      </c>
      <c r="CF28">
        <v>1</v>
      </c>
      <c r="CG28" t="s">
        <v>117</v>
      </c>
      <c r="CN28" t="s">
        <v>314</v>
      </c>
      <c r="CO28" s="17">
        <v>1</v>
      </c>
      <c r="CP28" t="s">
        <v>75</v>
      </c>
      <c r="CT28" t="s">
        <v>127</v>
      </c>
      <c r="CU28">
        <f>B37</f>
        <v>100</v>
      </c>
      <c r="CV28" t="s">
        <v>90</v>
      </c>
      <c r="CZ28" t="s">
        <v>123</v>
      </c>
      <c r="DA28">
        <f>B39</f>
        <v>2.5</v>
      </c>
      <c r="DB28" t="s">
        <v>56</v>
      </c>
      <c r="FW28" t="s">
        <v>186</v>
      </c>
      <c r="FX28" s="1">
        <v>30</v>
      </c>
      <c r="HD28" t="s">
        <v>411</v>
      </c>
      <c r="HE28" s="1">
        <f>B17</f>
        <v>432</v>
      </c>
      <c r="HF28" t="s">
        <v>119</v>
      </c>
    </row>
    <row r="29" spans="1:214" ht="15.75" thickTop="1" x14ac:dyDescent="0.2">
      <c r="A29" t="s">
        <v>395</v>
      </c>
      <c r="B29" s="411">
        <v>6.0000000000000001E-3</v>
      </c>
      <c r="D29" s="103" t="s">
        <v>3</v>
      </c>
      <c r="E29" s="104"/>
      <c r="F29" s="105" t="s">
        <v>0</v>
      </c>
      <c r="G29" t="s">
        <v>67</v>
      </c>
      <c r="H29">
        <v>350</v>
      </c>
      <c r="I29" t="s">
        <v>52</v>
      </c>
      <c r="J29" t="s">
        <v>370</v>
      </c>
      <c r="K29" s="1">
        <f>B42</f>
        <v>10.4</v>
      </c>
      <c r="L29" t="s">
        <v>380</v>
      </c>
      <c r="M29" t="s">
        <v>463</v>
      </c>
      <c r="N29">
        <v>1</v>
      </c>
      <c r="P29" t="s">
        <v>463</v>
      </c>
      <c r="Q29">
        <v>1</v>
      </c>
      <c r="V29" t="s">
        <v>51</v>
      </c>
      <c r="W29">
        <v>250</v>
      </c>
      <c r="X29" t="s">
        <v>60</v>
      </c>
      <c r="Y29" t="s">
        <v>51</v>
      </c>
      <c r="Z29">
        <f>Z41*Z42</f>
        <v>250</v>
      </c>
      <c r="AA29" t="s">
        <v>60</v>
      </c>
      <c r="AB29" t="s">
        <v>158</v>
      </c>
      <c r="AC29" s="1">
        <f t="shared" si="0"/>
        <v>0.33333333333333331</v>
      </c>
      <c r="AD29" s="1">
        <f t="shared" si="0"/>
        <v>0.33333333333333331</v>
      </c>
      <c r="AE29" s="1">
        <f t="shared" si="0"/>
        <v>0.33333333333333331</v>
      </c>
      <c r="AF29" s="1">
        <f t="shared" si="0"/>
        <v>0.33333333333333331</v>
      </c>
      <c r="AG29" s="1">
        <f>8/24</f>
        <v>0.33333333333333331</v>
      </c>
      <c r="AI29" t="s">
        <v>463</v>
      </c>
      <c r="AJ29">
        <v>1</v>
      </c>
      <c r="AL29" t="s">
        <v>463</v>
      </c>
      <c r="AM29">
        <v>1</v>
      </c>
      <c r="AR29" t="s">
        <v>463</v>
      </c>
      <c r="AS29">
        <v>1</v>
      </c>
      <c r="AU29" t="s">
        <v>462</v>
      </c>
      <c r="AV29">
        <v>1</v>
      </c>
      <c r="BA29" t="s">
        <v>463</v>
      </c>
      <c r="BB29">
        <v>1</v>
      </c>
      <c r="BD29" t="s">
        <v>463</v>
      </c>
      <c r="BE29">
        <v>1</v>
      </c>
      <c r="BJ29" t="s">
        <v>65</v>
      </c>
      <c r="BK29">
        <v>1</v>
      </c>
      <c r="BL29" t="s">
        <v>59</v>
      </c>
      <c r="BM29" t="s">
        <v>65</v>
      </c>
      <c r="BN29">
        <v>1</v>
      </c>
      <c r="BO29" t="s">
        <v>59</v>
      </c>
      <c r="BS29" t="s">
        <v>473</v>
      </c>
      <c r="BT29">
        <f>BT14/BT16</f>
        <v>1</v>
      </c>
      <c r="BU29" s="2"/>
      <c r="BW29">
        <v>1000</v>
      </c>
      <c r="BX29" t="s">
        <v>157</v>
      </c>
      <c r="BY29" t="s">
        <v>238</v>
      </c>
      <c r="BZ29">
        <v>1</v>
      </c>
      <c r="CA29" t="s">
        <v>80</v>
      </c>
      <c r="CB29" t="s">
        <v>460</v>
      </c>
      <c r="CC29" s="1">
        <f>B10</f>
        <v>2.7199999999999998E-2</v>
      </c>
      <c r="CD29" t="s">
        <v>121</v>
      </c>
      <c r="CE29" t="s">
        <v>460</v>
      </c>
      <c r="CF29" s="1">
        <f>B12</f>
        <v>3.4500000000000003E-2</v>
      </c>
      <c r="CG29" t="s">
        <v>121</v>
      </c>
      <c r="CT29" t="s">
        <v>223</v>
      </c>
      <c r="CU29">
        <f>B33</f>
        <v>10</v>
      </c>
      <c r="CV29" t="s">
        <v>78</v>
      </c>
      <c r="CZ29" t="s">
        <v>223</v>
      </c>
      <c r="DA29">
        <f>B33</f>
        <v>10</v>
      </c>
      <c r="DB29" t="s">
        <v>241</v>
      </c>
      <c r="FW29" t="s">
        <v>296</v>
      </c>
      <c r="FX29" s="1">
        <v>8.1999999999999993</v>
      </c>
      <c r="HD29" t="s">
        <v>156</v>
      </c>
      <c r="HE29">
        <v>0.3</v>
      </c>
    </row>
    <row r="30" spans="1:214" ht="15" x14ac:dyDescent="0.2">
      <c r="A30" t="s">
        <v>63</v>
      </c>
      <c r="B30" s="410">
        <v>1E-3</v>
      </c>
      <c r="D30" s="106" t="s">
        <v>150</v>
      </c>
      <c r="E30" s="107" t="s">
        <v>456</v>
      </c>
      <c r="F30" s="108" t="s">
        <v>22</v>
      </c>
      <c r="G30" t="s">
        <v>73</v>
      </c>
      <c r="H30">
        <v>350</v>
      </c>
      <c r="I30" t="s">
        <v>52</v>
      </c>
      <c r="J30" t="s">
        <v>371</v>
      </c>
      <c r="K30" s="1">
        <f>B43</f>
        <v>28.5</v>
      </c>
      <c r="L30" t="s">
        <v>380</v>
      </c>
      <c r="M30" t="s">
        <v>105</v>
      </c>
      <c r="N30">
        <v>1</v>
      </c>
      <c r="P30" t="s">
        <v>105</v>
      </c>
      <c r="Q30">
        <v>1</v>
      </c>
      <c r="V30" t="s">
        <v>65</v>
      </c>
      <c r="W30">
        <v>1</v>
      </c>
      <c r="X30" t="s">
        <v>59</v>
      </c>
      <c r="Y30" t="s">
        <v>65</v>
      </c>
      <c r="Z30">
        <v>1</v>
      </c>
      <c r="AA30" t="s">
        <v>59</v>
      </c>
      <c r="AB30" t="s">
        <v>161</v>
      </c>
      <c r="AC30">
        <v>0.4</v>
      </c>
      <c r="AD30">
        <v>0.4</v>
      </c>
      <c r="AE30">
        <v>0.4</v>
      </c>
      <c r="AF30">
        <v>0.4</v>
      </c>
      <c r="AG30">
        <v>0.4</v>
      </c>
      <c r="AI30" t="s">
        <v>105</v>
      </c>
      <c r="AJ30">
        <f>N30</f>
        <v>1</v>
      </c>
      <c r="AL30" t="s">
        <v>105</v>
      </c>
      <c r="AM30">
        <f>Q30</f>
        <v>1</v>
      </c>
      <c r="AR30" t="s">
        <v>105</v>
      </c>
      <c r="AS30">
        <f>AJ30</f>
        <v>1</v>
      </c>
      <c r="AU30" t="s">
        <v>105</v>
      </c>
      <c r="AV30">
        <f>AM30</f>
        <v>1</v>
      </c>
      <c r="BA30" t="s">
        <v>105</v>
      </c>
      <c r="BB30">
        <f>AS30</f>
        <v>1</v>
      </c>
      <c r="BD30" t="s">
        <v>105</v>
      </c>
      <c r="BE30">
        <f>AV30</f>
        <v>1</v>
      </c>
      <c r="BS30" t="s">
        <v>474</v>
      </c>
      <c r="BT30">
        <f>BT15/BT16</f>
        <v>1</v>
      </c>
      <c r="BW30">
        <v>1000</v>
      </c>
      <c r="BX30" t="s">
        <v>376</v>
      </c>
      <c r="BY30" t="s">
        <v>239</v>
      </c>
      <c r="BZ30">
        <v>1</v>
      </c>
      <c r="CA30" t="s">
        <v>80</v>
      </c>
      <c r="CT30" t="s">
        <v>224</v>
      </c>
      <c r="CU30">
        <f>B34</f>
        <v>20</v>
      </c>
      <c r="CV30" t="s">
        <v>78</v>
      </c>
      <c r="CZ30" t="s">
        <v>224</v>
      </c>
      <c r="DA30">
        <f>B34</f>
        <v>20</v>
      </c>
      <c r="DB30" t="s">
        <v>241</v>
      </c>
      <c r="FX30">
        <v>1000</v>
      </c>
      <c r="FY30" t="s">
        <v>213</v>
      </c>
      <c r="HD30" t="s">
        <v>159</v>
      </c>
      <c r="HE30" s="1">
        <v>1.5</v>
      </c>
    </row>
    <row r="31" spans="1:214" x14ac:dyDescent="0.2">
      <c r="A31" t="s">
        <v>64</v>
      </c>
      <c r="B31" s="410">
        <v>5.0000000000000001E-3</v>
      </c>
      <c r="D31" s="106" t="s">
        <v>150</v>
      </c>
      <c r="E31" s="109">
        <f>E38</f>
        <v>7.1500071500071496E-2</v>
      </c>
      <c r="F31" s="110"/>
      <c r="G31" t="s">
        <v>100</v>
      </c>
      <c r="H31">
        <v>1</v>
      </c>
      <c r="I31" t="s">
        <v>119</v>
      </c>
      <c r="J31" t="s">
        <v>67</v>
      </c>
      <c r="K31">
        <v>350</v>
      </c>
      <c r="L31" t="s">
        <v>52</v>
      </c>
      <c r="M31" t="s">
        <v>114</v>
      </c>
      <c r="N31">
        <v>7.2999999999999995E-2</v>
      </c>
      <c r="O31" t="s">
        <v>115</v>
      </c>
      <c r="P31" t="s">
        <v>114</v>
      </c>
      <c r="Q31">
        <v>7.2999999999999995E-2</v>
      </c>
      <c r="R31" t="s">
        <v>115</v>
      </c>
      <c r="V31" t="s">
        <v>436</v>
      </c>
      <c r="W31" s="1">
        <f>B5</f>
        <v>0.155</v>
      </c>
      <c r="X31" t="s">
        <v>72</v>
      </c>
      <c r="Y31" t="s">
        <v>436</v>
      </c>
      <c r="Z31" s="1">
        <f>B5</f>
        <v>0.155</v>
      </c>
      <c r="AA31" t="s">
        <v>72</v>
      </c>
      <c r="AB31" t="s">
        <v>144</v>
      </c>
      <c r="AC31">
        <v>25</v>
      </c>
      <c r="AD31">
        <v>25</v>
      </c>
      <c r="AE31">
        <v>25</v>
      </c>
      <c r="AF31">
        <v>1</v>
      </c>
      <c r="AG31">
        <v>1</v>
      </c>
      <c r="AH31" t="s">
        <v>88</v>
      </c>
      <c r="AI31" t="s">
        <v>114</v>
      </c>
      <c r="AJ31">
        <v>0</v>
      </c>
      <c r="AK31" t="s">
        <v>115</v>
      </c>
      <c r="AL31" t="s">
        <v>114</v>
      </c>
      <c r="AM31">
        <v>0</v>
      </c>
      <c r="AN31" t="s">
        <v>115</v>
      </c>
      <c r="AR31" t="s">
        <v>116</v>
      </c>
      <c r="AS31">
        <f>8/24</f>
        <v>0.33333333333333331</v>
      </c>
      <c r="AT31" t="s">
        <v>117</v>
      </c>
      <c r="AU31" t="s">
        <v>114</v>
      </c>
      <c r="AV31">
        <f>8/24</f>
        <v>0.33333333333333331</v>
      </c>
      <c r="AW31" t="s">
        <v>115</v>
      </c>
      <c r="BA31" t="s">
        <v>116</v>
      </c>
      <c r="BB31">
        <f>8/24</f>
        <v>0.33333333333333331</v>
      </c>
      <c r="BC31" t="s">
        <v>117</v>
      </c>
      <c r="BD31" t="s">
        <v>114</v>
      </c>
      <c r="BE31">
        <f>8/24</f>
        <v>0.33333333333333331</v>
      </c>
      <c r="BF31" t="s">
        <v>115</v>
      </c>
      <c r="BJ31" t="s">
        <v>463</v>
      </c>
      <c r="BK31">
        <v>1.5699999999999999E-5</v>
      </c>
      <c r="BM31" t="s">
        <v>463</v>
      </c>
      <c r="BN31">
        <v>1.35E-4</v>
      </c>
      <c r="BW31">
        <v>365</v>
      </c>
      <c r="BX31" t="s">
        <v>52</v>
      </c>
      <c r="BY31" t="s">
        <v>465</v>
      </c>
      <c r="BZ31" s="1">
        <v>2.41E-4</v>
      </c>
      <c r="CT31" t="s">
        <v>67</v>
      </c>
      <c r="CU31">
        <v>350</v>
      </c>
      <c r="CV31" t="s">
        <v>52</v>
      </c>
      <c r="CZ31" t="s">
        <v>242</v>
      </c>
      <c r="DA31" s="1">
        <f>B40</f>
        <v>14.8</v>
      </c>
      <c r="DB31" t="s">
        <v>380</v>
      </c>
      <c r="HD31" t="s">
        <v>58</v>
      </c>
      <c r="HE31">
        <v>26</v>
      </c>
    </row>
    <row r="32" spans="1:214" ht="13.5" thickBot="1" x14ac:dyDescent="0.25">
      <c r="D32" s="111"/>
      <c r="E32" s="112" t="s">
        <v>33</v>
      </c>
      <c r="F32" s="113"/>
      <c r="G32" t="s">
        <v>83</v>
      </c>
      <c r="H32">
        <v>1</v>
      </c>
      <c r="J32" t="s">
        <v>73</v>
      </c>
      <c r="K32">
        <v>350</v>
      </c>
      <c r="L32" t="s">
        <v>52</v>
      </c>
      <c r="M32" t="s">
        <v>460</v>
      </c>
      <c r="N32" s="1">
        <f>B10</f>
        <v>2.7199999999999998E-2</v>
      </c>
      <c r="O32" t="s">
        <v>430</v>
      </c>
      <c r="P32" t="s">
        <v>460</v>
      </c>
      <c r="Q32" s="1">
        <f>B12</f>
        <v>3.4500000000000003E-2</v>
      </c>
      <c r="R32" t="s">
        <v>121</v>
      </c>
      <c r="V32" t="s">
        <v>79</v>
      </c>
      <c r="W32">
        <v>8</v>
      </c>
      <c r="X32" t="s">
        <v>80</v>
      </c>
      <c r="Y32" t="s">
        <v>79</v>
      </c>
      <c r="Z32">
        <v>8</v>
      </c>
      <c r="AA32" t="s">
        <v>80</v>
      </c>
      <c r="AB32" t="s">
        <v>49</v>
      </c>
      <c r="AC32" s="1">
        <f>0.693/AC33</f>
        <v>1.6041666666666665E-3</v>
      </c>
      <c r="AD32" s="1">
        <f>0.693/AD33</f>
        <v>1.6041666666666665E-3</v>
      </c>
      <c r="AE32" s="1">
        <f>0.693/AE33</f>
        <v>1.6041666666666665E-3</v>
      </c>
      <c r="AF32" s="1">
        <f>0.693/AF33</f>
        <v>1.6041666666666665E-3</v>
      </c>
      <c r="AG32" s="1">
        <f>0.693/AG33</f>
        <v>1.6041666666666665E-3</v>
      </c>
      <c r="AI32" t="s">
        <v>460</v>
      </c>
      <c r="AJ32" s="1">
        <f>B10</f>
        <v>2.7199999999999998E-2</v>
      </c>
      <c r="AK32" t="s">
        <v>121</v>
      </c>
      <c r="AL32" t="s">
        <v>460</v>
      </c>
      <c r="AM32" s="1">
        <f>B12</f>
        <v>3.4500000000000003E-2</v>
      </c>
      <c r="AN32" t="s">
        <v>121</v>
      </c>
      <c r="AR32" t="s">
        <v>460</v>
      </c>
      <c r="AS32" s="1">
        <f>B10</f>
        <v>2.7199999999999998E-2</v>
      </c>
      <c r="AT32" t="s">
        <v>121</v>
      </c>
      <c r="AU32" t="s">
        <v>460</v>
      </c>
      <c r="AV32" s="1">
        <f>B12</f>
        <v>3.4500000000000003E-2</v>
      </c>
      <c r="AW32" t="s">
        <v>121</v>
      </c>
      <c r="BA32" t="s">
        <v>460</v>
      </c>
      <c r="BB32" s="1">
        <f>B10</f>
        <v>2.7199999999999998E-2</v>
      </c>
      <c r="BC32" t="s">
        <v>121</v>
      </c>
      <c r="BD32" t="s">
        <v>460</v>
      </c>
      <c r="BE32" s="1">
        <f>B12</f>
        <v>3.4500000000000003E-2</v>
      </c>
      <c r="BF32" t="s">
        <v>121</v>
      </c>
      <c r="BJ32" t="s">
        <v>105</v>
      </c>
      <c r="BK32">
        <v>0.80900000000000005</v>
      </c>
      <c r="BM32" t="s">
        <v>105</v>
      </c>
      <c r="BN32">
        <v>0.71099999999999997</v>
      </c>
      <c r="BT32" s="1"/>
      <c r="BW32">
        <v>8760</v>
      </c>
      <c r="BX32" t="s">
        <v>237</v>
      </c>
      <c r="BY32" t="s">
        <v>105</v>
      </c>
      <c r="BZ32">
        <v>0.753</v>
      </c>
      <c r="CT32" t="s">
        <v>73</v>
      </c>
      <c r="CU32">
        <v>350</v>
      </c>
      <c r="CV32" t="s">
        <v>52</v>
      </c>
      <c r="CZ32" t="s">
        <v>162</v>
      </c>
      <c r="DA32" s="1">
        <f>B41</f>
        <v>56.2</v>
      </c>
      <c r="DB32" t="s">
        <v>380</v>
      </c>
      <c r="DY32" s="413"/>
      <c r="HD32" t="s">
        <v>65</v>
      </c>
      <c r="HE32">
        <v>70</v>
      </c>
    </row>
    <row r="33" spans="1:214" ht="13.15" customHeight="1" thickTop="1" x14ac:dyDescent="0.2">
      <c r="A33" t="s">
        <v>87</v>
      </c>
      <c r="B33" s="411">
        <v>10</v>
      </c>
      <c r="C33" t="s">
        <v>78</v>
      </c>
      <c r="D33" t="s">
        <v>458</v>
      </c>
      <c r="E33" s="1">
        <v>1</v>
      </c>
      <c r="F33" t="s">
        <v>459</v>
      </c>
      <c r="G33" t="s">
        <v>98</v>
      </c>
      <c r="H33">
        <v>1</v>
      </c>
      <c r="J33" t="s">
        <v>100</v>
      </c>
      <c r="K33">
        <v>1</v>
      </c>
      <c r="L33" t="s">
        <v>119</v>
      </c>
      <c r="M33" t="s">
        <v>136</v>
      </c>
      <c r="N33">
        <v>0.68300000000000005</v>
      </c>
      <c r="O33" t="s">
        <v>115</v>
      </c>
      <c r="P33" t="s">
        <v>136</v>
      </c>
      <c r="Q33">
        <v>0.68300000000000005</v>
      </c>
      <c r="R33" t="s">
        <v>115</v>
      </c>
      <c r="W33">
        <v>24</v>
      </c>
      <c r="X33" t="s">
        <v>80</v>
      </c>
      <c r="Z33">
        <v>24</v>
      </c>
      <c r="AA33" t="s">
        <v>80</v>
      </c>
      <c r="AB33" t="s">
        <v>411</v>
      </c>
      <c r="AC33" s="1">
        <f>B17</f>
        <v>432</v>
      </c>
      <c r="AD33" s="1">
        <f>B17</f>
        <v>432</v>
      </c>
      <c r="AE33" s="1">
        <f>B17</f>
        <v>432</v>
      </c>
      <c r="AF33" s="1">
        <f>B17</f>
        <v>432</v>
      </c>
      <c r="AG33" s="1">
        <f>B17</f>
        <v>432</v>
      </c>
      <c r="AH33" t="s">
        <v>119</v>
      </c>
      <c r="AI33" t="s">
        <v>136</v>
      </c>
      <c r="AJ33">
        <f>8/24</f>
        <v>0.33333333333333331</v>
      </c>
      <c r="AK33" t="s">
        <v>115</v>
      </c>
      <c r="AL33" t="s">
        <v>136</v>
      </c>
      <c r="AM33">
        <f>8/24</f>
        <v>0.33333333333333331</v>
      </c>
      <c r="AN33" t="s">
        <v>115</v>
      </c>
      <c r="AR33" t="s">
        <v>136</v>
      </c>
      <c r="AS33">
        <v>0</v>
      </c>
      <c r="AT33" t="s">
        <v>115</v>
      </c>
      <c r="AU33" t="s">
        <v>136</v>
      </c>
      <c r="AV33">
        <v>0</v>
      </c>
      <c r="AW33" t="s">
        <v>115</v>
      </c>
      <c r="BA33" t="s">
        <v>136</v>
      </c>
      <c r="BB33">
        <v>0</v>
      </c>
      <c r="BC33" t="s">
        <v>115</v>
      </c>
      <c r="BD33" t="s">
        <v>136</v>
      </c>
      <c r="BE33">
        <v>0</v>
      </c>
      <c r="BF33" t="s">
        <v>115</v>
      </c>
      <c r="BJ33" t="s">
        <v>116</v>
      </c>
      <c r="BK33">
        <f>8/24</f>
        <v>0.33333333333333331</v>
      </c>
      <c r="BL33" t="s">
        <v>117</v>
      </c>
      <c r="BM33" t="s">
        <v>114</v>
      </c>
      <c r="BN33">
        <f>8/24</f>
        <v>0.33333333333333331</v>
      </c>
      <c r="BO33" t="s">
        <v>115</v>
      </c>
      <c r="BV33" t="s">
        <v>473</v>
      </c>
      <c r="BW33">
        <f>BW21/BW20</f>
        <v>1</v>
      </c>
      <c r="BY33" t="s">
        <v>174</v>
      </c>
      <c r="BZ33">
        <v>26</v>
      </c>
      <c r="CA33" t="s">
        <v>88</v>
      </c>
      <c r="CT33" t="s">
        <v>229</v>
      </c>
      <c r="CU33">
        <v>1</v>
      </c>
      <c r="CV33" t="s">
        <v>119</v>
      </c>
      <c r="CZ33" t="s">
        <v>243</v>
      </c>
      <c r="DA33" s="1">
        <f>B42</f>
        <v>10.4</v>
      </c>
      <c r="DB33" t="s">
        <v>380</v>
      </c>
      <c r="DY33" s="413"/>
      <c r="HD33" t="s">
        <v>391</v>
      </c>
      <c r="HE33" s="1">
        <f>1+((HE35*HE36*HE37)/(HE38*HE39))</f>
        <v>16.660043458695149</v>
      </c>
    </row>
    <row r="34" spans="1:214" x14ac:dyDescent="0.2">
      <c r="A34" t="s">
        <v>95</v>
      </c>
      <c r="B34" s="411">
        <v>20</v>
      </c>
      <c r="C34" t="s">
        <v>78</v>
      </c>
      <c r="D34" t="s">
        <v>51</v>
      </c>
      <c r="E34">
        <v>350</v>
      </c>
      <c r="F34" t="s">
        <v>52</v>
      </c>
      <c r="G34" t="s">
        <v>163</v>
      </c>
      <c r="H34">
        <v>0.54</v>
      </c>
      <c r="I34" t="s">
        <v>164</v>
      </c>
      <c r="J34" t="s">
        <v>98</v>
      </c>
      <c r="K34">
        <v>1</v>
      </c>
      <c r="L34" t="s">
        <v>119</v>
      </c>
      <c r="V34" t="s">
        <v>96</v>
      </c>
      <c r="W34">
        <f>B35</f>
        <v>60</v>
      </c>
      <c r="X34" t="s">
        <v>78</v>
      </c>
      <c r="Y34" t="s">
        <v>96</v>
      </c>
      <c r="Z34">
        <f>B35</f>
        <v>60</v>
      </c>
      <c r="AA34" t="s">
        <v>78</v>
      </c>
      <c r="AC34">
        <v>365</v>
      </c>
      <c r="AD34">
        <v>365</v>
      </c>
      <c r="AE34">
        <v>365</v>
      </c>
      <c r="AF34">
        <v>365</v>
      </c>
      <c r="AG34">
        <v>365</v>
      </c>
      <c r="AH34" t="s">
        <v>173</v>
      </c>
      <c r="BJ34" t="s">
        <v>460</v>
      </c>
      <c r="BK34" s="1">
        <f>B10</f>
        <v>2.7199999999999998E-2</v>
      </c>
      <c r="BL34" t="s">
        <v>121</v>
      </c>
      <c r="BM34" t="s">
        <v>460</v>
      </c>
      <c r="BN34" s="1">
        <f>B12</f>
        <v>3.4500000000000003E-2</v>
      </c>
      <c r="BO34" t="s">
        <v>121</v>
      </c>
      <c r="BV34" t="s">
        <v>474</v>
      </c>
      <c r="BW34">
        <f>BW22/BW20</f>
        <v>1</v>
      </c>
      <c r="BZ34">
        <v>365</v>
      </c>
      <c r="CA34" t="s">
        <v>173</v>
      </c>
      <c r="CH34" s="429" t="s">
        <v>393</v>
      </c>
      <c r="CI34" s="429"/>
      <c r="CJ34" s="429"/>
      <c r="CK34" s="429"/>
      <c r="CL34" s="429"/>
      <c r="CP34">
        <f>3.83/(0.006*1*0.001)</f>
        <v>638333.33333333337</v>
      </c>
      <c r="CT34" t="s">
        <v>98</v>
      </c>
      <c r="CU34">
        <v>1</v>
      </c>
      <c r="CV34" t="s">
        <v>119</v>
      </c>
      <c r="CZ34" t="s">
        <v>244</v>
      </c>
      <c r="DA34" s="1">
        <f>B43</f>
        <v>28.5</v>
      </c>
      <c r="DB34" t="s">
        <v>380</v>
      </c>
      <c r="DS34" s="1"/>
      <c r="DY34" s="413"/>
      <c r="EH34" s="1"/>
      <c r="HD34" t="s">
        <v>167</v>
      </c>
      <c r="HE34">
        <v>8.1999999999999993</v>
      </c>
    </row>
    <row r="35" spans="1:214" ht="13.15" customHeight="1" x14ac:dyDescent="0.2">
      <c r="A35" t="s">
        <v>96</v>
      </c>
      <c r="B35" s="411">
        <v>60</v>
      </c>
      <c r="C35" t="s">
        <v>78</v>
      </c>
      <c r="D35" t="s">
        <v>447</v>
      </c>
      <c r="E35" s="1">
        <f>B16</f>
        <v>7.3999999999999999E-4</v>
      </c>
      <c r="F35" t="s">
        <v>160</v>
      </c>
      <c r="G35" t="s">
        <v>165</v>
      </c>
      <c r="H35">
        <v>0.71</v>
      </c>
      <c r="I35" t="s">
        <v>164</v>
      </c>
      <c r="J35" t="s">
        <v>83</v>
      </c>
      <c r="K35">
        <v>1</v>
      </c>
      <c r="L35" t="s">
        <v>119</v>
      </c>
      <c r="M35" s="407"/>
      <c r="N35" s="407"/>
      <c r="O35" s="407"/>
      <c r="P35" s="407"/>
      <c r="Q35" s="407"/>
      <c r="R35" s="407"/>
      <c r="V35" t="s">
        <v>445</v>
      </c>
      <c r="W35" s="1">
        <f>B14</f>
        <v>7.8700000000000002E-5</v>
      </c>
      <c r="X35" t="s">
        <v>107</v>
      </c>
      <c r="Y35" t="s">
        <v>445</v>
      </c>
      <c r="Z35" s="1">
        <f>B14</f>
        <v>7.8700000000000002E-5</v>
      </c>
      <c r="AA35" t="s">
        <v>107</v>
      </c>
      <c r="AB35" t="s">
        <v>37</v>
      </c>
      <c r="AC35">
        <f>(AC31*AC32)/(1-EXP(-AC32*AC31))</f>
        <v>1.0201861084227344</v>
      </c>
      <c r="AD35">
        <f>(AD31*AD32)/(1-EXP(-AD32*AD31))</f>
        <v>1.0201861084227344</v>
      </c>
      <c r="AE35">
        <f>(AE31*AE32)/(1-EXP(-AE32*AE31))</f>
        <v>1.0201861084227344</v>
      </c>
      <c r="AF35">
        <f>(AF31*AF32)/(1-EXP(-AF32*AF31))</f>
        <v>1.0008022977791844</v>
      </c>
      <c r="AG35">
        <f>(AG31*AG32)/(1-EXP(-AG32*AG31))</f>
        <v>1.0008022977791844</v>
      </c>
      <c r="BS35" s="1">
        <f>0.000001/(0.0000000281*BT11)</f>
        <v>0.37959667852906281</v>
      </c>
      <c r="BT35" s="1"/>
      <c r="BZ35">
        <v>1000</v>
      </c>
      <c r="CA35" t="s">
        <v>179</v>
      </c>
      <c r="CH35" s="429"/>
      <c r="CI35" s="429"/>
      <c r="CJ35" s="429"/>
      <c r="CK35" s="429"/>
      <c r="CL35" s="429"/>
      <c r="CT35" t="s">
        <v>83</v>
      </c>
      <c r="CU35">
        <v>1</v>
      </c>
      <c r="CV35" t="s">
        <v>119</v>
      </c>
      <c r="CZ35" t="s">
        <v>246</v>
      </c>
      <c r="DA35">
        <v>350</v>
      </c>
      <c r="DB35" t="s">
        <v>245</v>
      </c>
      <c r="DS35" s="1"/>
      <c r="DY35" s="413"/>
      <c r="EH35" s="1"/>
      <c r="HD35" t="s">
        <v>131</v>
      </c>
      <c r="HE35" s="4">
        <v>5</v>
      </c>
      <c r="HF35" t="s">
        <v>170</v>
      </c>
    </row>
    <row r="36" spans="1:214" x14ac:dyDescent="0.2">
      <c r="A36" t="s">
        <v>108</v>
      </c>
      <c r="B36" s="411">
        <v>200</v>
      </c>
      <c r="C36" t="s">
        <v>90</v>
      </c>
      <c r="D36" t="s">
        <v>65</v>
      </c>
      <c r="E36">
        <v>1</v>
      </c>
      <c r="F36" t="s">
        <v>119</v>
      </c>
      <c r="G36" t="s">
        <v>168</v>
      </c>
      <c r="H36">
        <v>24</v>
      </c>
      <c r="I36" t="s">
        <v>80</v>
      </c>
      <c r="J36" t="s">
        <v>238</v>
      </c>
      <c r="K36">
        <v>24</v>
      </c>
      <c r="L36" t="s">
        <v>80</v>
      </c>
      <c r="M36" s="407"/>
      <c r="N36" s="407"/>
      <c r="O36" s="407"/>
      <c r="P36" s="407"/>
      <c r="Q36" s="407"/>
      <c r="R36" s="407"/>
      <c r="V36" t="s">
        <v>464</v>
      </c>
      <c r="W36">
        <v>1</v>
      </c>
      <c r="Y36" t="s">
        <v>464</v>
      </c>
      <c r="Z36">
        <v>1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 t="s">
        <v>179</v>
      </c>
      <c r="BK36" s="429" t="s">
        <v>405</v>
      </c>
      <c r="BL36" s="429"/>
      <c r="BM36" s="429"/>
      <c r="BN36" s="429"/>
      <c r="BO36" s="429"/>
      <c r="BZ36">
        <v>1000</v>
      </c>
      <c r="CA36" t="s">
        <v>50</v>
      </c>
      <c r="CH36" s="429"/>
      <c r="CI36" s="429"/>
      <c r="CJ36" s="429"/>
      <c r="CK36" s="429"/>
      <c r="CL36" s="429"/>
      <c r="CT36" t="s">
        <v>382</v>
      </c>
      <c r="CU36">
        <v>24</v>
      </c>
      <c r="CV36" t="s">
        <v>80</v>
      </c>
      <c r="CZ36" t="s">
        <v>247</v>
      </c>
      <c r="DA36">
        <v>350</v>
      </c>
      <c r="DB36" t="s">
        <v>245</v>
      </c>
      <c r="DS36" s="1"/>
      <c r="DY36" s="414"/>
      <c r="EH36" s="1"/>
      <c r="HD36" t="s">
        <v>171</v>
      </c>
      <c r="HE36" s="4">
        <v>5</v>
      </c>
      <c r="HF36" t="s">
        <v>172</v>
      </c>
    </row>
    <row r="37" spans="1:214" x14ac:dyDescent="0.2">
      <c r="A37" t="s">
        <v>127</v>
      </c>
      <c r="B37" s="411">
        <v>100</v>
      </c>
      <c r="C37" t="s">
        <v>90</v>
      </c>
      <c r="D37" t="s">
        <v>162</v>
      </c>
      <c r="E37">
        <f>B44</f>
        <v>54</v>
      </c>
      <c r="F37" t="s">
        <v>90</v>
      </c>
      <c r="G37" t="s">
        <v>168</v>
      </c>
      <c r="H37">
        <v>24</v>
      </c>
      <c r="I37" t="s">
        <v>80</v>
      </c>
      <c r="J37" t="s">
        <v>239</v>
      </c>
      <c r="K37">
        <v>24</v>
      </c>
      <c r="L37" t="s">
        <v>80</v>
      </c>
      <c r="V37" t="s">
        <v>452</v>
      </c>
      <c r="W37" s="1">
        <f>W26/((W32/W33)*W29*W30*W31*W34)</f>
        <v>1.2903225806451613E-3</v>
      </c>
      <c r="X37" t="s">
        <v>36</v>
      </c>
      <c r="Y37" t="s">
        <v>452</v>
      </c>
      <c r="Z37" s="1">
        <f>(Z26*Z30*Z27)/((1-EXP(-Z27))*Z30*Z31*Z29*Z43*(Z32/Z33)*Z34)</f>
        <v>1.2913578035860442E-3</v>
      </c>
      <c r="AA37" t="s">
        <v>37</v>
      </c>
      <c r="AB37" t="s">
        <v>451</v>
      </c>
      <c r="AC37" s="1">
        <f>(AC5/(AC9*AC16*AC8*AC11*(1/AC6)))*AC35</f>
        <v>55.145195049877536</v>
      </c>
      <c r="AD37" s="1">
        <f>(AD5/(AD9*AD16*AD8*AD11*(1/AD6)))*AD35</f>
        <v>110.29039009975507</v>
      </c>
      <c r="AE37" s="1">
        <f>(AE5/(AE9*AE16*AE8*AE11*(1/AE6)))*AE35</f>
        <v>61.272438944308377</v>
      </c>
      <c r="AF37" s="1">
        <f>(AF5/(AF9*AF16*AF8*AF11*(1/AF6)))*AF35</f>
        <v>16.39315803078107</v>
      </c>
      <c r="AG37" s="1">
        <f>(AG5/(AG9*AG16*AG8*AG11*(1/AG6)))*AG35</f>
        <v>16.39315803078107</v>
      </c>
      <c r="BK37" s="429"/>
      <c r="BL37" s="429"/>
      <c r="BM37" s="429"/>
      <c r="BN37" s="429"/>
      <c r="BO37" s="429"/>
      <c r="BY37" t="s">
        <v>473</v>
      </c>
      <c r="BZ37">
        <f>BZ27/BZ25</f>
        <v>1</v>
      </c>
      <c r="CH37" s="429"/>
      <c r="CI37" s="429"/>
      <c r="CJ37" s="429"/>
      <c r="CK37" s="429"/>
      <c r="CL37" s="429"/>
      <c r="CT37" t="s">
        <v>239</v>
      </c>
      <c r="CU37">
        <v>24</v>
      </c>
      <c r="CV37" t="s">
        <v>80</v>
      </c>
      <c r="CZ37" t="s">
        <v>227</v>
      </c>
      <c r="DA37">
        <v>1</v>
      </c>
      <c r="DB37" t="s">
        <v>119</v>
      </c>
      <c r="DS37" s="1"/>
      <c r="DY37" s="413"/>
      <c r="EH37" s="1"/>
      <c r="HD37" t="s">
        <v>175</v>
      </c>
      <c r="HE37" s="4">
        <f>(0.0112*HE39*HE39)^0.5+HE40*(1-EXP((-HE38*HE39)/(HE35*HE36*HE40)))</f>
        <v>6.2013772096432787</v>
      </c>
      <c r="HF37" t="s">
        <v>176</v>
      </c>
    </row>
    <row r="38" spans="1:214" x14ac:dyDescent="0.2">
      <c r="A38" t="s">
        <v>414</v>
      </c>
      <c r="B38" s="411">
        <v>0.78</v>
      </c>
      <c r="D38" t="s">
        <v>451</v>
      </c>
      <c r="E38" s="1">
        <f>E33/(E35*E34*E36*E37)</f>
        <v>7.1500071500071496E-2</v>
      </c>
      <c r="F38" t="s">
        <v>22</v>
      </c>
      <c r="G38" t="s">
        <v>151</v>
      </c>
      <c r="H38">
        <v>1</v>
      </c>
      <c r="I38" t="s">
        <v>152</v>
      </c>
      <c r="J38" t="s">
        <v>369</v>
      </c>
      <c r="K38">
        <v>0.25</v>
      </c>
      <c r="V38" t="s">
        <v>477</v>
      </c>
      <c r="W38" s="1">
        <f>(W26)/((W32/W33)*W29*W30*W35*(1/365))</f>
        <v>55654.383735705211</v>
      </c>
      <c r="X38" t="s">
        <v>36</v>
      </c>
      <c r="Y38" t="s">
        <v>477</v>
      </c>
      <c r="Z38" s="1">
        <f>(Z26*Z30*Z27)/((1-EXP(-Z27*Z30))*Z35*Z29*Z43*(Z32/Z33)*Z36*(Z43/Z44))</f>
        <v>55699.035124178241</v>
      </c>
      <c r="AA38" t="s">
        <v>37</v>
      </c>
      <c r="AB38" t="s">
        <v>452</v>
      </c>
      <c r="AC38" s="1">
        <f>(AC5/(AC24*AC20*AC8*AC11*(1/AC40)*((8/1)/(24/1))*AC36))*AC35</f>
        <v>1789.3991593664432</v>
      </c>
      <c r="AD38" s="1">
        <f>(AD5/(AD24*AD20*AD8*((8/1)/(24/1))*AD11*(1/AD40)*AD36))*AD35</f>
        <v>1789.399159366443</v>
      </c>
      <c r="AE38" s="1">
        <f>(AE5/(AE24*AE20*AE8*((8/1)/(24/1))*AE11*(1/AE40)*AE36))*AE35</f>
        <v>1988.2212881849371</v>
      </c>
      <c r="AF38" s="1">
        <f>(AF5/(AF24*AF20*AF8*AF11*(1/AF41)*AF28*AF19*AF36))*AF35</f>
        <v>1.0022607673597179</v>
      </c>
      <c r="AG38" s="1">
        <v>432</v>
      </c>
      <c r="BK38" s="429"/>
      <c r="BL38" s="429"/>
      <c r="BM38" s="429"/>
      <c r="BN38" s="429"/>
      <c r="BO38" s="429"/>
      <c r="BY38" t="s">
        <v>474</v>
      </c>
      <c r="BZ38">
        <f>BZ26/BZ25</f>
        <v>1</v>
      </c>
      <c r="CT38" t="s">
        <v>383</v>
      </c>
      <c r="CU38">
        <v>1</v>
      </c>
      <c r="CZ38" t="s">
        <v>228</v>
      </c>
      <c r="DA38">
        <v>1</v>
      </c>
      <c r="DB38" t="s">
        <v>119</v>
      </c>
      <c r="DY38" s="413"/>
      <c r="HD38" t="s">
        <v>178</v>
      </c>
      <c r="HE38" s="4">
        <v>0.18</v>
      </c>
      <c r="HF38" t="s">
        <v>170</v>
      </c>
    </row>
    <row r="39" spans="1:214" ht="13.5" thickBot="1" x14ac:dyDescent="0.25">
      <c r="A39" t="s">
        <v>415</v>
      </c>
      <c r="B39" s="411">
        <v>2.5</v>
      </c>
      <c r="G39" t="s">
        <v>153</v>
      </c>
      <c r="H39">
        <v>1</v>
      </c>
      <c r="I39" t="s">
        <v>152</v>
      </c>
      <c r="J39" t="s">
        <v>155</v>
      </c>
      <c r="K39">
        <v>1.752</v>
      </c>
      <c r="L39" t="s">
        <v>117</v>
      </c>
      <c r="V39" t="s">
        <v>452</v>
      </c>
      <c r="W39" s="1">
        <f>(W26*W27*W30)/((W32/W33)*(1-EXP(-W27*W30))*W31*W34*W29*W30)</f>
        <v>1.2913578035860444E-3</v>
      </c>
      <c r="X39" t="s">
        <v>37</v>
      </c>
      <c r="Y39" t="s">
        <v>452</v>
      </c>
      <c r="Z39" s="1">
        <f>Z26/((Z31*Z29*Z43*(Z32/Z33)*Z34))</f>
        <v>1.2903225806451613E-3</v>
      </c>
      <c r="AA39" t="s">
        <v>36</v>
      </c>
      <c r="AB39" t="s">
        <v>453</v>
      </c>
      <c r="AC39" s="1">
        <f>(AC5/(AC23*AC22*AC29*AC19*AC8*(1/AC34)*AC11))*AC35</f>
        <v>120.44245700516379</v>
      </c>
      <c r="AD39" s="1">
        <f>(AD5/(AD23*AD22*AD29*AD21*AD8*(1/AD34)*AD11))*AD35</f>
        <v>301.10614251290946</v>
      </c>
      <c r="AE39" s="1">
        <f>(AE5/(AE23*AE22*AE29*AE19*AE8*(1/AE34)*AE11))*AE35</f>
        <v>133.82495222795978</v>
      </c>
      <c r="AF39" s="1">
        <f>(AF5/(AF23*AF22*(AF28+AF29*AF21)*AF8*(1/AF34)*AF11))*AF35</f>
        <v>84.395727074948553</v>
      </c>
      <c r="AG39" s="1">
        <f>(AG5/(AG24*AG20*AG8*AG11*(1/AG42)*(AG28+(AG29*AG30))*AG36))*AG35</f>
        <v>64.159789574628448</v>
      </c>
      <c r="BK39" s="429"/>
      <c r="BL39" s="429"/>
      <c r="BM39" s="429"/>
      <c r="BN39" s="429"/>
      <c r="BO39" s="429"/>
      <c r="BT39" s="7"/>
      <c r="BU39" s="2"/>
      <c r="CT39" t="s">
        <v>155</v>
      </c>
      <c r="CU39">
        <v>12.167999999999999</v>
      </c>
      <c r="CV39" t="s">
        <v>117</v>
      </c>
      <c r="CZ39" t="s">
        <v>229</v>
      </c>
      <c r="DA39">
        <v>1</v>
      </c>
      <c r="DB39" t="s">
        <v>119</v>
      </c>
      <c r="DY39" s="413"/>
      <c r="HD39" t="s">
        <v>180</v>
      </c>
      <c r="HE39" s="4">
        <v>55</v>
      </c>
      <c r="HF39" t="s">
        <v>176</v>
      </c>
    </row>
    <row r="40" spans="1:214" ht="15" customHeight="1" thickTop="1" x14ac:dyDescent="0.2">
      <c r="A40" t="s">
        <v>374</v>
      </c>
      <c r="B40" s="410">
        <v>14.8</v>
      </c>
      <c r="C40" t="s">
        <v>380</v>
      </c>
      <c r="D40" s="103" t="s">
        <v>3</v>
      </c>
      <c r="E40" s="104"/>
      <c r="F40" s="105" t="s">
        <v>0</v>
      </c>
      <c r="H40">
        <f>1/1000</f>
        <v>1E-3</v>
      </c>
      <c r="I40" t="s">
        <v>154</v>
      </c>
      <c r="J40" t="s">
        <v>158</v>
      </c>
      <c r="K40">
        <v>16.416</v>
      </c>
      <c r="L40" t="s">
        <v>117</v>
      </c>
      <c r="V40" t="s">
        <v>477</v>
      </c>
      <c r="W40" s="1">
        <f>(W26*W27*W30)/((W32/W33)*(1-EXP(-W27*W30))*W35*W29*W30*(1/365))</f>
        <v>55699.035124178248</v>
      </c>
      <c r="X40" t="s">
        <v>37</v>
      </c>
      <c r="Y40" t="s">
        <v>477</v>
      </c>
      <c r="Z40" s="1">
        <f>Z26/(Z35*Z29*(1/Z44)*Z43*(Z32/Z33)*Z36)</f>
        <v>55654.383735705211</v>
      </c>
      <c r="AA40" t="s">
        <v>36</v>
      </c>
      <c r="AB40" t="s">
        <v>148</v>
      </c>
      <c r="AC40" s="1">
        <f>B18</f>
        <v>1359344473.5814338</v>
      </c>
      <c r="AD40" s="1">
        <f>B18</f>
        <v>1359344473.5814338</v>
      </c>
      <c r="AE40" s="1">
        <f>B18</f>
        <v>1359344473.5814338</v>
      </c>
      <c r="AG40" s="1">
        <f>(AG5/(AG23*AG22*(AG28+AG29*AG21)*AG8*(1/AG34)*AG11))*AG35</f>
        <v>84.395727074948553</v>
      </c>
      <c r="BT40" s="7"/>
      <c r="BU40" s="2"/>
      <c r="CT40" t="s">
        <v>158</v>
      </c>
      <c r="CU40">
        <v>10.007999999999999</v>
      </c>
      <c r="CV40" t="s">
        <v>117</v>
      </c>
      <c r="CZ40" t="s">
        <v>409</v>
      </c>
      <c r="DA40">
        <v>24</v>
      </c>
      <c r="DB40" t="s">
        <v>80</v>
      </c>
      <c r="DY40" s="413"/>
      <c r="HD40" t="s">
        <v>181</v>
      </c>
      <c r="HE40" s="4">
        <v>5</v>
      </c>
      <c r="HF40" t="s">
        <v>176</v>
      </c>
    </row>
    <row r="41" spans="1:214" ht="14.25" x14ac:dyDescent="0.2">
      <c r="A41" t="s">
        <v>375</v>
      </c>
      <c r="B41" s="410">
        <v>56.2</v>
      </c>
      <c r="C41" t="s">
        <v>380</v>
      </c>
      <c r="D41" s="106" t="s">
        <v>150</v>
      </c>
      <c r="E41" s="107" t="s">
        <v>456</v>
      </c>
      <c r="F41" s="108" t="s">
        <v>24</v>
      </c>
      <c r="H41">
        <v>1000</v>
      </c>
      <c r="I41" t="s">
        <v>157</v>
      </c>
      <c r="J41" t="s">
        <v>161</v>
      </c>
      <c r="K41">
        <v>0.4</v>
      </c>
      <c r="Y41" t="s">
        <v>378</v>
      </c>
      <c r="Z41">
        <v>50</v>
      </c>
      <c r="AA41" t="s">
        <v>194</v>
      </c>
      <c r="AB41" s="5" t="s">
        <v>184</v>
      </c>
      <c r="AF41" s="6">
        <f>B19</f>
        <v>776129.4078035407</v>
      </c>
      <c r="AH41" s="5" t="s">
        <v>149</v>
      </c>
      <c r="BT41" s="1"/>
      <c r="CT41" t="s">
        <v>161</v>
      </c>
      <c r="CU41">
        <v>0.4</v>
      </c>
      <c r="CZ41" t="s">
        <v>410</v>
      </c>
      <c r="DA41">
        <v>24</v>
      </c>
      <c r="DB41" t="s">
        <v>80</v>
      </c>
      <c r="DY41" s="413"/>
      <c r="HD41" t="s">
        <v>182</v>
      </c>
      <c r="HE41" s="4">
        <v>5</v>
      </c>
      <c r="HF41" t="s">
        <v>176</v>
      </c>
    </row>
    <row r="42" spans="1:214" ht="13.9" customHeight="1" x14ac:dyDescent="0.2">
      <c r="A42" t="s">
        <v>370</v>
      </c>
      <c r="B42" s="410">
        <v>10.4</v>
      </c>
      <c r="C42" t="s">
        <v>380</v>
      </c>
      <c r="D42" s="106" t="s">
        <v>177</v>
      </c>
      <c r="E42" s="109">
        <f>E52</f>
        <v>2.3833357166690496</v>
      </c>
      <c r="F42" s="110"/>
      <c r="H42">
        <v>1000</v>
      </c>
      <c r="I42" t="s">
        <v>376</v>
      </c>
      <c r="J42" t="s">
        <v>466</v>
      </c>
      <c r="K42">
        <v>0.4</v>
      </c>
      <c r="Y42" t="s">
        <v>377</v>
      </c>
      <c r="Z42">
        <v>5</v>
      </c>
      <c r="AA42" t="s">
        <v>297</v>
      </c>
      <c r="AB42" s="5" t="s">
        <v>185</v>
      </c>
      <c r="AF42" s="5"/>
      <c r="AG42" s="6">
        <f>B20</f>
        <v>69557565.807898715</v>
      </c>
      <c r="AH42" s="5"/>
      <c r="AI42" s="5"/>
      <c r="AJ42" s="5"/>
      <c r="AK42" s="5"/>
      <c r="CT42" t="s">
        <v>466</v>
      </c>
      <c r="CU42">
        <v>0.4</v>
      </c>
      <c r="CZ42" t="s">
        <v>151</v>
      </c>
      <c r="DA42">
        <v>1</v>
      </c>
      <c r="DB42" t="s">
        <v>248</v>
      </c>
    </row>
    <row r="43" spans="1:214" ht="13.15" customHeight="1" thickBot="1" x14ac:dyDescent="0.25">
      <c r="A43" t="s">
        <v>371</v>
      </c>
      <c r="B43" s="410">
        <v>28.5</v>
      </c>
      <c r="C43" t="s">
        <v>380</v>
      </c>
      <c r="D43" s="111" t="s">
        <v>10</v>
      </c>
      <c r="E43" s="112" t="s">
        <v>33</v>
      </c>
      <c r="F43" s="113"/>
      <c r="G43" t="s">
        <v>369</v>
      </c>
      <c r="H43">
        <v>0.25</v>
      </c>
      <c r="J43" t="s">
        <v>465</v>
      </c>
      <c r="K43">
        <v>1</v>
      </c>
      <c r="Y43" t="s">
        <v>298</v>
      </c>
      <c r="Z43">
        <v>1</v>
      </c>
      <c r="AA43" t="s">
        <v>253</v>
      </c>
      <c r="AF43" s="429" t="s">
        <v>392</v>
      </c>
      <c r="AG43" s="429"/>
      <c r="AH43" s="429"/>
      <c r="AI43" s="5"/>
      <c r="AJ43" s="5"/>
      <c r="AK43" s="5"/>
      <c r="BT43" s="1"/>
      <c r="CT43" t="s">
        <v>465</v>
      </c>
      <c r="CU43">
        <v>1</v>
      </c>
      <c r="CZ43" t="s">
        <v>153</v>
      </c>
      <c r="DA43">
        <v>1</v>
      </c>
      <c r="DB43" t="s">
        <v>248</v>
      </c>
    </row>
    <row r="44" spans="1:214" ht="13.5" thickTop="1" x14ac:dyDescent="0.2">
      <c r="A44" t="s">
        <v>162</v>
      </c>
      <c r="B44" s="411">
        <v>54</v>
      </c>
      <c r="C44" t="s">
        <v>90</v>
      </c>
      <c r="D44" t="s">
        <v>458</v>
      </c>
      <c r="E44" s="1">
        <v>1</v>
      </c>
      <c r="F44" t="s">
        <v>459</v>
      </c>
      <c r="H44">
        <v>365</v>
      </c>
      <c r="I44" t="s">
        <v>52</v>
      </c>
      <c r="J44" t="s">
        <v>105</v>
      </c>
      <c r="K44">
        <v>1</v>
      </c>
      <c r="Z44">
        <v>365</v>
      </c>
      <c r="AA44" t="s">
        <v>145</v>
      </c>
      <c r="AF44" s="429"/>
      <c r="AG44" s="429"/>
      <c r="AH44" s="429"/>
      <c r="CT44" t="s">
        <v>105</v>
      </c>
      <c r="CU44">
        <v>1</v>
      </c>
      <c r="CZ44" t="s">
        <v>249</v>
      </c>
      <c r="DA44">
        <v>0.54</v>
      </c>
      <c r="DB44" t="s">
        <v>251</v>
      </c>
    </row>
    <row r="45" spans="1:214" ht="12.75" customHeight="1" x14ac:dyDescent="0.2">
      <c r="A45" t="s">
        <v>254</v>
      </c>
      <c r="B45" s="411">
        <v>256</v>
      </c>
      <c r="C45" t="s">
        <v>380</v>
      </c>
      <c r="D45" t="s">
        <v>51</v>
      </c>
      <c r="E45">
        <v>350</v>
      </c>
      <c r="F45" t="s">
        <v>52</v>
      </c>
      <c r="H45">
        <v>8760</v>
      </c>
      <c r="I45" t="s">
        <v>237</v>
      </c>
      <c r="J45" t="s">
        <v>169</v>
      </c>
      <c r="K45">
        <v>26</v>
      </c>
      <c r="L45" t="s">
        <v>88</v>
      </c>
      <c r="AB45" s="5"/>
      <c r="AC45" s="5"/>
      <c r="AF45" s="429"/>
      <c r="AG45" s="429"/>
      <c r="AH45" s="429"/>
      <c r="AI45" s="5"/>
      <c r="AJ45" s="5"/>
      <c r="AK45" s="5"/>
      <c r="CT45" t="s">
        <v>299</v>
      </c>
      <c r="CU45">
        <v>40</v>
      </c>
      <c r="CV45" t="s">
        <v>88</v>
      </c>
      <c r="CZ45" t="s">
        <v>250</v>
      </c>
      <c r="DA45">
        <v>0.71</v>
      </c>
      <c r="DB45" t="s">
        <v>251</v>
      </c>
    </row>
    <row r="46" spans="1:214" x14ac:dyDescent="0.2">
      <c r="A46" t="s">
        <v>255</v>
      </c>
      <c r="B46" s="411">
        <v>615</v>
      </c>
      <c r="C46" t="s">
        <v>380</v>
      </c>
      <c r="D46" t="s">
        <v>447</v>
      </c>
      <c r="E46" s="1">
        <f>B16</f>
        <v>7.3999999999999999E-4</v>
      </c>
      <c r="F46" t="s">
        <v>160</v>
      </c>
      <c r="G46" t="s">
        <v>46</v>
      </c>
      <c r="H46">
        <f>H48</f>
        <v>5.0000000000000002E-5</v>
      </c>
      <c r="K46">
        <v>365</v>
      </c>
      <c r="L46" t="s">
        <v>173</v>
      </c>
      <c r="AB46" s="5"/>
      <c r="AC46" s="9"/>
      <c r="AI46" s="5"/>
      <c r="AJ46" s="5"/>
      <c r="AK46" s="5"/>
      <c r="CU46">
        <v>365</v>
      </c>
      <c r="CV46" t="s">
        <v>173</v>
      </c>
      <c r="DA46">
        <v>365</v>
      </c>
      <c r="DB46" t="s">
        <v>245</v>
      </c>
    </row>
    <row r="47" spans="1:214" ht="15" x14ac:dyDescent="0.2">
      <c r="A47" t="s">
        <v>435</v>
      </c>
      <c r="B47" s="410">
        <f>6/26</f>
        <v>0.23076923076923078</v>
      </c>
      <c r="D47" t="s">
        <v>65</v>
      </c>
      <c r="E47">
        <v>1</v>
      </c>
      <c r="F47" t="s">
        <v>119</v>
      </c>
      <c r="G47" t="s">
        <v>54</v>
      </c>
      <c r="H47">
        <f>H49</f>
        <v>0.26</v>
      </c>
      <c r="K47">
        <v>1000</v>
      </c>
      <c r="L47" t="s">
        <v>179</v>
      </c>
      <c r="W47" s="7"/>
      <c r="X47" s="2"/>
      <c r="Y47" s="2"/>
      <c r="Z47" s="2"/>
      <c r="AA47" s="2"/>
      <c r="AB47" s="5"/>
      <c r="AC47" s="5"/>
      <c r="AD47" s="5"/>
      <c r="AI47" s="5"/>
      <c r="AJ47" s="5"/>
      <c r="AK47" s="5"/>
      <c r="CU47">
        <v>1000</v>
      </c>
      <c r="CV47" t="s">
        <v>179</v>
      </c>
      <c r="CZ47" t="s">
        <v>131</v>
      </c>
      <c r="DA47">
        <v>0.5</v>
      </c>
      <c r="DB47" t="s">
        <v>252</v>
      </c>
    </row>
    <row r="48" spans="1:214" x14ac:dyDescent="0.2">
      <c r="A48" t="s">
        <v>434</v>
      </c>
      <c r="B48" s="410">
        <f>20/26</f>
        <v>0.76923076923076927</v>
      </c>
      <c r="D48" t="s">
        <v>162</v>
      </c>
      <c r="E48">
        <f>B44</f>
        <v>54</v>
      </c>
      <c r="F48" t="s">
        <v>90</v>
      </c>
      <c r="G48" t="s">
        <v>63</v>
      </c>
      <c r="H48">
        <f>B28</f>
        <v>5.0000000000000002E-5</v>
      </c>
      <c r="K48">
        <v>1000</v>
      </c>
      <c r="L48" t="s">
        <v>50</v>
      </c>
      <c r="W48" s="7"/>
      <c r="X48" s="2"/>
      <c r="Y48" s="2"/>
      <c r="Z48" s="2"/>
      <c r="AA48" s="2"/>
      <c r="AB48" s="5"/>
      <c r="AC48" s="5"/>
      <c r="AF48" s="8"/>
      <c r="AG48" s="5"/>
      <c r="AH48" s="5"/>
      <c r="AI48" s="5"/>
      <c r="AJ48" s="5"/>
      <c r="AK48" s="5"/>
      <c r="CU48">
        <v>1000</v>
      </c>
      <c r="CV48" t="s">
        <v>50</v>
      </c>
      <c r="DA48">
        <v>1</v>
      </c>
      <c r="DB48" t="s">
        <v>253</v>
      </c>
    </row>
    <row r="49" spans="1:106" x14ac:dyDescent="0.2">
      <c r="A49" t="s">
        <v>433</v>
      </c>
      <c r="B49" s="410">
        <f>6/40</f>
        <v>0.15</v>
      </c>
      <c r="E49">
        <v>1000</v>
      </c>
      <c r="F49" t="s">
        <v>179</v>
      </c>
      <c r="G49" t="s">
        <v>70</v>
      </c>
      <c r="H49">
        <v>0.26</v>
      </c>
      <c r="J49" t="s">
        <v>46</v>
      </c>
      <c r="K49">
        <f>K51</f>
        <v>5.0000000000000002E-5</v>
      </c>
      <c r="W49" s="1"/>
      <c r="AB49" s="5"/>
      <c r="AC49" s="5"/>
      <c r="AF49" s="8"/>
      <c r="AG49" s="5"/>
      <c r="AH49" s="5"/>
      <c r="AI49" s="5"/>
      <c r="AJ49" s="5"/>
      <c r="AK49" s="5"/>
      <c r="BT49" s="1"/>
      <c r="CT49" t="s">
        <v>433</v>
      </c>
      <c r="CU49" s="1">
        <f>B49</f>
        <v>0.15</v>
      </c>
      <c r="DA49">
        <v>8760</v>
      </c>
      <c r="DB49" t="s">
        <v>237</v>
      </c>
    </row>
    <row r="50" spans="1:106" x14ac:dyDescent="0.2">
      <c r="A50" t="s">
        <v>432</v>
      </c>
      <c r="B50" s="410">
        <f>34/40</f>
        <v>0.85</v>
      </c>
      <c r="D50" t="s">
        <v>186</v>
      </c>
      <c r="E50">
        <f>B22</f>
        <v>30</v>
      </c>
      <c r="F50" t="s">
        <v>45</v>
      </c>
      <c r="G50" t="s">
        <v>44</v>
      </c>
      <c r="H50" s="1">
        <f>(H53*H54*H55*((1-EXP(-H56*H57))))/(H58*H56)</f>
        <v>1.7470612337404778E-3</v>
      </c>
      <c r="I50" t="s">
        <v>45</v>
      </c>
      <c r="J50" t="s">
        <v>54</v>
      </c>
      <c r="K50">
        <f>K52</f>
        <v>0.26</v>
      </c>
      <c r="W50" s="1"/>
      <c r="AB50" s="5"/>
      <c r="AC50" s="5"/>
      <c r="AF50" s="8"/>
      <c r="AG50" s="5"/>
      <c r="AH50" s="5"/>
      <c r="AI50" s="5"/>
      <c r="AJ50" s="5"/>
      <c r="AK50" s="5"/>
      <c r="BW50" s="1"/>
      <c r="CT50" t="s">
        <v>432</v>
      </c>
      <c r="CU50" s="1">
        <f>B50</f>
        <v>0.85</v>
      </c>
      <c r="DA50">
        <v>1000</v>
      </c>
      <c r="DB50" t="s">
        <v>179</v>
      </c>
    </row>
    <row r="51" spans="1:106" x14ac:dyDescent="0.2">
      <c r="D51" t="s">
        <v>188</v>
      </c>
      <c r="E51">
        <v>1</v>
      </c>
      <c r="F51" t="s">
        <v>189</v>
      </c>
      <c r="G51" t="s">
        <v>53</v>
      </c>
      <c r="H51" s="1">
        <f>(H53*H54*H59*((1-EXP(-H56*H57))))/(H58*H56)</f>
        <v>9.0847184154504852</v>
      </c>
      <c r="I51" t="s">
        <v>45</v>
      </c>
      <c r="J51" t="s">
        <v>63</v>
      </c>
      <c r="K51">
        <f>B28</f>
        <v>5.0000000000000002E-5</v>
      </c>
      <c r="AB51" s="5"/>
      <c r="AC51" s="5"/>
      <c r="AF51" s="8"/>
      <c r="AG51" s="5"/>
      <c r="BW51" s="1"/>
      <c r="CZ51" t="s">
        <v>433</v>
      </c>
      <c r="DA51" s="1">
        <f>B49</f>
        <v>0.15</v>
      </c>
    </row>
    <row r="52" spans="1:106" x14ac:dyDescent="0.2">
      <c r="D52" t="s">
        <v>451</v>
      </c>
      <c r="E52" s="1">
        <f>E44/(E46*E45*E47*E48*E50*E51*(1/E49))</f>
        <v>2.3833357166690496</v>
      </c>
      <c r="G52" t="s">
        <v>62</v>
      </c>
      <c r="H52" s="1">
        <f>(H53*H54*H60*H66*((1-EXP(-H61*H62))))/(H63*H61)</f>
        <v>3.6421488784670224</v>
      </c>
      <c r="I52" t="s">
        <v>45</v>
      </c>
      <c r="J52" t="s">
        <v>70</v>
      </c>
      <c r="K52">
        <v>0.26</v>
      </c>
      <c r="AB52" s="5"/>
      <c r="AC52" s="5"/>
      <c r="AF52" s="8"/>
      <c r="AG52" s="5"/>
      <c r="BW52" s="1"/>
      <c r="CZ52" t="s">
        <v>432</v>
      </c>
      <c r="DA52" s="1">
        <f>B50</f>
        <v>0.85</v>
      </c>
    </row>
    <row r="53" spans="1:106" x14ac:dyDescent="0.2">
      <c r="G53" t="s">
        <v>68</v>
      </c>
      <c r="H53">
        <v>3.62</v>
      </c>
      <c r="I53" t="s">
        <v>69</v>
      </c>
      <c r="J53" t="s">
        <v>435</v>
      </c>
      <c r="K53" s="1">
        <f>B47</f>
        <v>0.23076923076923078</v>
      </c>
      <c r="W53" s="1"/>
      <c r="AB53" s="5"/>
      <c r="AC53" s="5"/>
      <c r="AF53" s="8"/>
      <c r="AG53" s="5"/>
    </row>
    <row r="54" spans="1:106" x14ac:dyDescent="0.2">
      <c r="G54" t="s">
        <v>74</v>
      </c>
      <c r="H54">
        <v>0.25</v>
      </c>
      <c r="I54" t="s">
        <v>75</v>
      </c>
      <c r="J54" t="s">
        <v>434</v>
      </c>
      <c r="K54" s="1">
        <f>B48</f>
        <v>0.76923076923076927</v>
      </c>
      <c r="AB54" s="5"/>
      <c r="AC54" s="5"/>
      <c r="AF54" s="8"/>
      <c r="AG54" s="5"/>
    </row>
    <row r="55" spans="1:106" x14ac:dyDescent="0.2">
      <c r="G55" t="s">
        <v>63</v>
      </c>
      <c r="H55">
        <f>B28</f>
        <v>5.0000000000000002E-5</v>
      </c>
      <c r="AB55" s="5"/>
      <c r="AC55" s="5"/>
      <c r="AD55" s="5"/>
      <c r="AF55" s="8"/>
      <c r="AG55" s="5"/>
      <c r="AH55" s="5"/>
      <c r="AI55" s="5"/>
      <c r="AJ55" s="5"/>
      <c r="AK55" s="5"/>
    </row>
    <row r="56" spans="1:106" x14ac:dyDescent="0.2">
      <c r="G56" t="s">
        <v>92</v>
      </c>
      <c r="H56">
        <f>H64+H65</f>
        <v>3.1394977168949772E-5</v>
      </c>
      <c r="AB56" s="5"/>
      <c r="AC56" s="5"/>
      <c r="AD56" s="5"/>
      <c r="AF56" s="8"/>
      <c r="AG56" s="5"/>
      <c r="AH56" s="5"/>
      <c r="AI56" s="5"/>
      <c r="AJ56" s="5"/>
      <c r="AK56" s="5"/>
    </row>
    <row r="57" spans="1:106" x14ac:dyDescent="0.2">
      <c r="G57" t="s">
        <v>101</v>
      </c>
      <c r="H57">
        <v>10950</v>
      </c>
      <c r="I57" t="s">
        <v>102</v>
      </c>
      <c r="AB57" s="5"/>
      <c r="AC57" s="5"/>
      <c r="AD57" s="5"/>
      <c r="AF57" s="8"/>
      <c r="AG57" s="5"/>
      <c r="AH57" s="5"/>
      <c r="AI57" s="5"/>
      <c r="AJ57" s="5"/>
      <c r="AK57" s="5"/>
    </row>
    <row r="58" spans="1:106" x14ac:dyDescent="0.2">
      <c r="G58" t="s">
        <v>110</v>
      </c>
      <c r="H58">
        <v>240</v>
      </c>
      <c r="I58" t="s">
        <v>111</v>
      </c>
      <c r="AB58" s="5"/>
      <c r="AC58" s="5"/>
      <c r="AF58" s="8"/>
      <c r="AG58" s="5"/>
      <c r="AH58" s="5"/>
      <c r="AI58" s="5"/>
      <c r="AJ58" s="5"/>
      <c r="AK58" s="5"/>
    </row>
    <row r="59" spans="1:106" x14ac:dyDescent="0.2">
      <c r="G59" t="s">
        <v>120</v>
      </c>
      <c r="H59">
        <v>0.26</v>
      </c>
      <c r="AB59" s="5"/>
      <c r="AC59" s="5"/>
      <c r="AF59" s="5"/>
      <c r="AG59" s="5"/>
      <c r="AH59" s="5"/>
      <c r="AI59" s="5"/>
      <c r="AJ59" s="5"/>
      <c r="AK59" s="5"/>
    </row>
    <row r="60" spans="1:106" x14ac:dyDescent="0.2">
      <c r="G60" t="s">
        <v>125</v>
      </c>
      <c r="H60">
        <v>0.42</v>
      </c>
      <c r="I60" t="s">
        <v>75</v>
      </c>
      <c r="AB60" s="5"/>
      <c r="AC60" s="5"/>
      <c r="AF60" s="5"/>
      <c r="AG60" s="5"/>
      <c r="AH60" s="5"/>
      <c r="AI60" s="5"/>
      <c r="AJ60" s="5"/>
      <c r="AK60" s="5"/>
    </row>
    <row r="61" spans="1:106" x14ac:dyDescent="0.2">
      <c r="G61" t="s">
        <v>129</v>
      </c>
      <c r="H61">
        <f>H65+(0.693/H67)</f>
        <v>4.9504394977168943E-2</v>
      </c>
      <c r="I61" t="s">
        <v>130</v>
      </c>
      <c r="AB61" s="5"/>
      <c r="AC61" s="5"/>
      <c r="AD61" s="5"/>
      <c r="AF61" s="5"/>
      <c r="AG61" s="5"/>
      <c r="AH61" s="5"/>
      <c r="AI61" s="5"/>
      <c r="AJ61" s="5"/>
      <c r="AK61" s="5"/>
      <c r="DA61" s="1"/>
    </row>
    <row r="62" spans="1:106" x14ac:dyDescent="0.2">
      <c r="G62" t="s">
        <v>133</v>
      </c>
      <c r="H62">
        <v>60</v>
      </c>
      <c r="I62" t="s">
        <v>102</v>
      </c>
      <c r="AB62" s="5"/>
      <c r="AC62" s="5"/>
      <c r="AD62" s="5"/>
      <c r="AF62" s="8"/>
      <c r="AG62" s="5"/>
      <c r="AH62" s="5"/>
      <c r="AI62" s="5"/>
      <c r="AJ62" s="5"/>
      <c r="AK62" s="5"/>
    </row>
    <row r="63" spans="1:106" x14ac:dyDescent="0.2">
      <c r="G63" t="s">
        <v>135</v>
      </c>
      <c r="H63">
        <v>2</v>
      </c>
      <c r="I63" t="s">
        <v>111</v>
      </c>
      <c r="AB63" s="5"/>
      <c r="AC63" s="5"/>
      <c r="AD63" s="5"/>
      <c r="AF63" s="8"/>
      <c r="AG63" s="5"/>
      <c r="AH63" s="5"/>
      <c r="AI63" s="5"/>
      <c r="AJ63" s="5"/>
      <c r="AK63" s="5"/>
    </row>
    <row r="64" spans="1:106" x14ac:dyDescent="0.2">
      <c r="G64" t="s">
        <v>137</v>
      </c>
      <c r="H64">
        <v>2.6999999999999999E-5</v>
      </c>
      <c r="I64" t="s">
        <v>130</v>
      </c>
      <c r="AB64" s="5"/>
      <c r="AC64" s="5"/>
      <c r="AD64" s="5"/>
      <c r="AF64" s="8"/>
      <c r="AG64" s="5"/>
      <c r="AH64" s="5"/>
      <c r="AI64" s="5"/>
      <c r="AJ64" s="5"/>
      <c r="AK64" s="5"/>
    </row>
    <row r="65" spans="7:105" x14ac:dyDescent="0.2">
      <c r="G65" t="s">
        <v>138</v>
      </c>
      <c r="H65">
        <f>0.693/H69</f>
        <v>4.3949771689497717E-6</v>
      </c>
      <c r="I65" t="s">
        <v>130</v>
      </c>
      <c r="AB65" s="5"/>
      <c r="AC65" s="5"/>
      <c r="AD65" s="5"/>
      <c r="AF65" s="8"/>
      <c r="AG65" s="5"/>
      <c r="AH65" s="5"/>
      <c r="AI65" s="5"/>
      <c r="AJ65" s="5"/>
      <c r="AK65" s="5"/>
    </row>
    <row r="66" spans="7:105" x14ac:dyDescent="0.2">
      <c r="G66" t="s">
        <v>140</v>
      </c>
      <c r="H66">
        <v>1</v>
      </c>
      <c r="I66" t="s">
        <v>75</v>
      </c>
      <c r="AB66" s="5"/>
      <c r="AC66" s="5"/>
      <c r="AD66" s="5"/>
      <c r="AF66" s="8"/>
      <c r="AG66" s="5"/>
      <c r="AH66" s="5"/>
      <c r="AI66" s="5"/>
      <c r="AJ66" s="5"/>
      <c r="AK66" s="5"/>
      <c r="DA66" s="1"/>
    </row>
    <row r="67" spans="7:105" x14ac:dyDescent="0.2">
      <c r="G67" t="s">
        <v>144</v>
      </c>
      <c r="H67">
        <v>14</v>
      </c>
      <c r="I67" t="s">
        <v>145</v>
      </c>
      <c r="AB67" s="5"/>
      <c r="AC67" s="10"/>
      <c r="AD67" s="5"/>
      <c r="AF67" s="8"/>
      <c r="AG67" s="5"/>
      <c r="AH67" s="5"/>
      <c r="AI67" s="5"/>
      <c r="AJ67" s="5"/>
      <c r="AK67" s="5"/>
    </row>
    <row r="68" spans="7:105" x14ac:dyDescent="0.2">
      <c r="G68" t="s">
        <v>64</v>
      </c>
      <c r="H68">
        <f>B29</f>
        <v>6.0000000000000001E-3</v>
      </c>
      <c r="AB68" s="5"/>
      <c r="AC68" s="11"/>
      <c r="AD68" s="5"/>
      <c r="AF68" s="8"/>
      <c r="AG68" s="5"/>
      <c r="AH68" s="5"/>
      <c r="AI68" s="5"/>
      <c r="AJ68" s="5"/>
      <c r="AK68" s="5"/>
    </row>
    <row r="69" spans="7:105" x14ac:dyDescent="0.2">
      <c r="G69" t="s">
        <v>416</v>
      </c>
      <c r="H69" s="1">
        <f>B21</f>
        <v>157680</v>
      </c>
      <c r="I69" t="s">
        <v>381</v>
      </c>
      <c r="AF69" s="12"/>
      <c r="AG69" s="5"/>
      <c r="AH69" s="5"/>
      <c r="AI69" s="5"/>
      <c r="AJ69" s="5"/>
      <c r="AK69" s="5"/>
      <c r="BW69" s="1"/>
    </row>
    <row r="70" spans="7:105" x14ac:dyDescent="0.2">
      <c r="G70" t="s">
        <v>435</v>
      </c>
      <c r="H70" s="1">
        <f>B47</f>
        <v>0.23076923076923078</v>
      </c>
      <c r="AF70" s="8"/>
      <c r="AG70" s="5"/>
      <c r="AH70" s="5"/>
      <c r="AI70" s="5"/>
      <c r="AJ70" s="5"/>
      <c r="AK70" s="5"/>
    </row>
    <row r="71" spans="7:105" x14ac:dyDescent="0.2">
      <c r="G71" t="s">
        <v>434</v>
      </c>
      <c r="H71" s="1">
        <f>B48</f>
        <v>0.76923076923076927</v>
      </c>
      <c r="AF71" s="13"/>
      <c r="AG71" s="5"/>
      <c r="AH71" s="5"/>
      <c r="AI71" s="5"/>
      <c r="AJ71" s="5"/>
      <c r="AK71" s="5"/>
    </row>
    <row r="72" spans="7:105" x14ac:dyDescent="0.2">
      <c r="AF72" s="8"/>
      <c r="AG72" s="5"/>
      <c r="AH72" s="5"/>
      <c r="AI72" s="5"/>
      <c r="AJ72" s="5"/>
      <c r="AK72" s="5"/>
    </row>
    <row r="73" spans="7:105" x14ac:dyDescent="0.2">
      <c r="AF73" s="8"/>
      <c r="AG73" s="5"/>
      <c r="AH73" s="5"/>
      <c r="AI73" s="5"/>
      <c r="AJ73" s="5"/>
      <c r="AK73" s="5"/>
    </row>
    <row r="74" spans="7:105" x14ac:dyDescent="0.2">
      <c r="AF74" s="8"/>
      <c r="AG74" s="5"/>
      <c r="AH74" s="5"/>
      <c r="AI74" s="5"/>
      <c r="AJ74" s="5"/>
      <c r="AK74" s="5"/>
    </row>
    <row r="75" spans="7:105" x14ac:dyDescent="0.2">
      <c r="AF75" s="5"/>
      <c r="AG75" s="5"/>
      <c r="AH75" s="5"/>
      <c r="AI75" s="5"/>
      <c r="AJ75" s="5"/>
      <c r="AK75" s="5"/>
    </row>
    <row r="76" spans="7:105" x14ac:dyDescent="0.2">
      <c r="AF76" s="8"/>
      <c r="AG76" s="5"/>
      <c r="AH76" s="5"/>
      <c r="AI76" s="5"/>
      <c r="AJ76" s="5"/>
      <c r="AK76" s="5"/>
    </row>
    <row r="77" spans="7:105" x14ac:dyDescent="0.2">
      <c r="AF77" s="8"/>
      <c r="AG77" s="5"/>
      <c r="AH77" s="5"/>
      <c r="AI77" s="5"/>
      <c r="AJ77" s="5"/>
      <c r="AK77" s="5"/>
    </row>
    <row r="78" spans="7:105" ht="12.75" customHeight="1" x14ac:dyDescent="0.2">
      <c r="AF78" s="8"/>
      <c r="AG78" s="5"/>
    </row>
    <row r="79" spans="7:105" x14ac:dyDescent="0.2">
      <c r="AF79" s="8"/>
      <c r="AG79" s="5"/>
      <c r="AH79" s="5"/>
      <c r="AI79" s="5"/>
      <c r="AJ79" s="5"/>
      <c r="AK79" s="5"/>
    </row>
    <row r="80" spans="7:105" x14ac:dyDescent="0.2">
      <c r="AF80" s="8"/>
      <c r="AG80" s="5"/>
      <c r="AH80" s="5"/>
      <c r="AI80" s="5"/>
      <c r="AJ80" s="5"/>
      <c r="AK80" s="5"/>
    </row>
    <row r="81" spans="32:37" x14ac:dyDescent="0.2">
      <c r="AF81" s="8"/>
      <c r="AG81" s="5"/>
      <c r="AH81" s="5"/>
      <c r="AI81" s="5"/>
      <c r="AJ81" s="5"/>
      <c r="AK81" s="5"/>
    </row>
    <row r="82" spans="32:37" x14ac:dyDescent="0.2">
      <c r="AF82" s="8"/>
      <c r="AG82" s="5"/>
      <c r="AH82" s="5"/>
      <c r="AI82" s="5"/>
      <c r="AJ82" s="5"/>
      <c r="AK82" s="5"/>
    </row>
    <row r="83" spans="32:37" x14ac:dyDescent="0.2">
      <c r="AF83" s="5"/>
      <c r="AG83" s="5"/>
    </row>
    <row r="84" spans="32:37" x14ac:dyDescent="0.2">
      <c r="AF84" s="5"/>
      <c r="AG84" s="5"/>
      <c r="AH84" s="5"/>
      <c r="AI84" s="5"/>
      <c r="AJ84" s="5"/>
      <c r="AK84" s="5"/>
    </row>
    <row r="85" spans="32:37" x14ac:dyDescent="0.2">
      <c r="AF85" s="5"/>
      <c r="AG85" s="5"/>
    </row>
    <row r="86" spans="32:37" x14ac:dyDescent="0.2">
      <c r="AH86" s="5"/>
      <c r="AI86" s="5"/>
      <c r="AJ86" s="5"/>
      <c r="AK86" s="5"/>
    </row>
  </sheetData>
  <sheetProtection selectLockedCells="1" selectUnlockedCells="1"/>
  <mergeCells count="4">
    <mergeCell ref="CH34:CL37"/>
    <mergeCell ref="BK36:BO39"/>
    <mergeCell ref="AF43:AH45"/>
    <mergeCell ref="A1:C4"/>
  </mergeCells>
  <pageMargins left="0.75" right="0.75" top="1" bottom="1" header="0.51180555555555551" footer="0.51180555555555551"/>
  <pageSetup firstPageNumber="0"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F8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12.75" x14ac:dyDescent="0.2"/>
  <cols>
    <col min="1" max="1" width="14.42578125" bestFit="1" customWidth="1"/>
    <col min="3" max="3" width="14.28515625" bestFit="1" customWidth="1"/>
    <col min="4" max="4" width="8.5703125" customWidth="1"/>
    <col min="5" max="5" width="12.5703125" customWidth="1"/>
    <col min="6" max="6" width="19" customWidth="1"/>
    <col min="7" max="7" width="10" customWidth="1"/>
    <col min="8" max="8" width="12" customWidth="1"/>
    <col min="9" max="9" width="13.28515625" customWidth="1"/>
    <col min="10" max="10" width="10" customWidth="1"/>
    <col min="11" max="11" width="12.85546875" customWidth="1"/>
    <col min="12" max="12" width="14.28515625" customWidth="1"/>
    <col min="13" max="13" width="10.42578125" customWidth="1"/>
    <col min="14" max="14" width="11.5703125" customWidth="1"/>
    <col min="15" max="15" width="15.42578125" customWidth="1"/>
    <col min="16" max="16" width="10.42578125" customWidth="1"/>
    <col min="17" max="17" width="8.85546875" customWidth="1"/>
    <col min="18" max="18" width="15.42578125" customWidth="1"/>
    <col min="19" max="19" width="10.42578125" customWidth="1"/>
    <col min="20" max="20" width="8.85546875" customWidth="1"/>
    <col min="21" max="21" width="15.42578125" customWidth="1"/>
    <col min="22" max="22" width="8.5703125" customWidth="1"/>
    <col min="23" max="23" width="9" customWidth="1"/>
    <col min="24" max="24" width="16.85546875" customWidth="1"/>
    <col min="25" max="25" width="9.28515625" customWidth="1"/>
    <col min="26" max="26" width="11.140625" customWidth="1"/>
    <col min="27" max="27" width="16.85546875" customWidth="1"/>
    <col min="28" max="28" width="12.85546875" customWidth="1"/>
    <col min="29" max="29" width="17.42578125" customWidth="1"/>
    <col min="30" max="30" width="15.7109375" customWidth="1"/>
    <col min="31" max="31" width="15" customWidth="1"/>
    <col min="32" max="32" width="20.5703125" customWidth="1"/>
    <col min="33" max="33" width="24.28515625" customWidth="1"/>
    <col min="34" max="34" width="15.7109375" customWidth="1"/>
    <col min="35" max="35" width="10.42578125" customWidth="1"/>
    <col min="36" max="36" width="11.5703125" customWidth="1"/>
    <col min="37" max="37" width="15.42578125" customWidth="1"/>
    <col min="38" max="38" width="10.42578125" customWidth="1"/>
    <col min="39" max="39" width="8.85546875" customWidth="1"/>
    <col min="40" max="40" width="15.42578125" customWidth="1"/>
    <col min="41" max="41" width="10.42578125" customWidth="1"/>
    <col min="42" max="42" width="8.85546875" customWidth="1"/>
    <col min="43" max="43" width="15.42578125" customWidth="1"/>
    <col min="44" max="44" width="10.42578125" customWidth="1"/>
    <col min="45" max="45" width="11.5703125" customWidth="1"/>
    <col min="46" max="46" width="15.42578125" customWidth="1"/>
    <col min="47" max="47" width="10.42578125" customWidth="1"/>
    <col min="48" max="48" width="8.85546875" customWidth="1"/>
    <col min="49" max="49" width="15.42578125" customWidth="1"/>
    <col min="50" max="50" width="10.42578125" bestFit="1" customWidth="1"/>
    <col min="51" max="51" width="8.85546875" customWidth="1"/>
    <col min="52" max="52" width="15.42578125" customWidth="1"/>
    <col min="53" max="53" width="10.42578125" bestFit="1" customWidth="1"/>
    <col min="54" max="54" width="11.5703125" bestFit="1" customWidth="1"/>
    <col min="55" max="55" width="15.42578125" bestFit="1" customWidth="1"/>
    <col min="56" max="56" width="10.42578125" bestFit="1" customWidth="1"/>
    <col min="57" max="57" width="8.85546875" bestFit="1" customWidth="1"/>
    <col min="58" max="58" width="15.42578125" bestFit="1" customWidth="1"/>
    <col min="59" max="59" width="10.42578125" bestFit="1" customWidth="1"/>
    <col min="60" max="60" width="8.85546875" bestFit="1" customWidth="1"/>
    <col min="61" max="61" width="15.42578125" bestFit="1" customWidth="1"/>
    <col min="62" max="62" width="10.42578125" bestFit="1" customWidth="1"/>
    <col min="63" max="63" width="11.5703125" bestFit="1" customWidth="1"/>
    <col min="64" max="64" width="15.42578125" bestFit="1" customWidth="1"/>
    <col min="65" max="65" width="10.42578125" bestFit="1" customWidth="1"/>
    <col min="66" max="66" width="8.85546875" bestFit="1" customWidth="1"/>
    <col min="67" max="67" width="15.42578125" bestFit="1" customWidth="1"/>
    <col min="68" max="68" width="10.42578125" bestFit="1" customWidth="1"/>
    <col min="69" max="69" width="8.85546875" bestFit="1" customWidth="1"/>
    <col min="70" max="70" width="15.42578125" bestFit="1" customWidth="1"/>
    <col min="71" max="71" width="8.5703125" customWidth="1"/>
    <col min="72" max="72" width="10.5703125" bestFit="1" customWidth="1"/>
    <col min="73" max="73" width="19" bestFit="1" customWidth="1"/>
    <col min="74" max="75" width="12" bestFit="1" customWidth="1"/>
    <col min="76" max="76" width="10.42578125" bestFit="1" customWidth="1"/>
    <col min="77" max="77" width="10" bestFit="1" customWidth="1"/>
    <col min="78" max="78" width="11.28515625" bestFit="1" customWidth="1"/>
    <col min="79" max="79" width="14.28515625" customWidth="1"/>
    <col min="80" max="82" width="15.42578125" customWidth="1"/>
    <col min="83" max="83" width="10.42578125" bestFit="1" customWidth="1"/>
    <col min="84" max="84" width="8.85546875" bestFit="1" customWidth="1"/>
    <col min="85" max="85" width="15.42578125" bestFit="1" customWidth="1"/>
    <col min="86" max="86" width="10.42578125" bestFit="1" customWidth="1"/>
    <col min="87" max="87" width="8.85546875" bestFit="1" customWidth="1"/>
    <col min="88" max="88" width="15.42578125" bestFit="1" customWidth="1"/>
    <col min="89" max="89" width="9" bestFit="1" customWidth="1"/>
    <col min="90" max="90" width="8.85546875" bestFit="1" customWidth="1"/>
    <col min="91" max="91" width="8.140625" bestFit="1" customWidth="1"/>
    <col min="92" max="92" width="9.85546875" bestFit="1" customWidth="1"/>
    <col min="93" max="93" width="8.85546875" bestFit="1" customWidth="1"/>
    <col min="94" max="94" width="7.42578125" bestFit="1" customWidth="1"/>
    <col min="95" max="95" width="9.42578125" bestFit="1" customWidth="1"/>
    <col min="96" max="96" width="8.85546875" bestFit="1" customWidth="1"/>
    <col min="97" max="97" width="7.42578125" bestFit="1" customWidth="1"/>
    <col min="98" max="98" width="10" bestFit="1" customWidth="1"/>
    <col min="99" max="99" width="12.85546875" bestFit="1" customWidth="1"/>
    <col min="100" max="100" width="14.28515625" customWidth="1"/>
    <col min="101" max="101" width="8.5703125" customWidth="1"/>
    <col min="102" max="102" width="10.5703125" bestFit="1" customWidth="1"/>
    <col min="103" max="103" width="16.85546875" bestFit="1" customWidth="1"/>
    <col min="104" max="104" width="10.42578125" bestFit="1" customWidth="1"/>
    <col min="105" max="105" width="11.28515625" bestFit="1" customWidth="1"/>
    <col min="106" max="106" width="9.42578125" customWidth="1"/>
    <col min="107" max="107" width="9.140625" customWidth="1"/>
    <col min="108" max="108" width="11.28515625" bestFit="1" customWidth="1"/>
    <col min="109" max="109" width="9.140625" customWidth="1"/>
    <col min="110" max="110" width="9.85546875" bestFit="1" customWidth="1"/>
    <col min="111" max="111" width="12" customWidth="1"/>
    <col min="112" max="112" width="9.42578125" customWidth="1"/>
    <col min="113" max="113" width="7.5703125" bestFit="1" customWidth="1"/>
    <col min="114" max="114" width="8.28515625" bestFit="1" customWidth="1"/>
    <col min="115" max="115" width="7.42578125" bestFit="1" customWidth="1"/>
    <col min="116" max="116" width="7.5703125" bestFit="1" customWidth="1"/>
    <col min="117" max="117" width="8.28515625" bestFit="1" customWidth="1"/>
    <col min="118" max="118" width="7.42578125" bestFit="1" customWidth="1"/>
    <col min="119" max="119" width="9.85546875" bestFit="1" customWidth="1"/>
    <col min="120" max="120" width="12" customWidth="1"/>
    <col min="121" max="121" width="9.42578125" customWidth="1"/>
    <col min="122" max="122" width="8.85546875" bestFit="1" customWidth="1"/>
    <col min="123" max="123" width="9" bestFit="1" customWidth="1"/>
    <col min="124" max="124" width="9.28515625" bestFit="1" customWidth="1"/>
    <col min="125" max="125" width="8.85546875" bestFit="1" customWidth="1"/>
    <col min="126" max="126" width="8.85546875" customWidth="1"/>
    <col min="127" max="127" width="7.42578125" bestFit="1" customWidth="1"/>
    <col min="128" max="128" width="6.28515625" customWidth="1"/>
    <col min="129" max="129" width="8.85546875" customWidth="1"/>
    <col min="130" max="130" width="7.42578125" bestFit="1" customWidth="1"/>
    <col min="131" max="131" width="6.28515625" customWidth="1"/>
    <col min="132" max="132" width="8.85546875" customWidth="1"/>
    <col min="133" max="133" width="7.42578125" bestFit="1" customWidth="1"/>
    <col min="134" max="134" width="9.85546875" bestFit="1" customWidth="1"/>
    <col min="135" max="135" width="9.42578125" bestFit="1" customWidth="1"/>
    <col min="136" max="136" width="7.42578125" bestFit="1" customWidth="1"/>
    <col min="137" max="137" width="8" bestFit="1" customWidth="1"/>
    <col min="138" max="138" width="12.85546875" bestFit="1" customWidth="1"/>
    <col min="139" max="139" width="9.140625" customWidth="1"/>
    <col min="140" max="140" width="8.28515625" customWidth="1"/>
    <col min="141" max="141" width="8.85546875" customWidth="1"/>
    <col min="142" max="142" width="7.42578125" bestFit="1" customWidth="1"/>
    <col min="143" max="143" width="6.28515625" customWidth="1"/>
    <col min="144" max="144" width="8.85546875" customWidth="1"/>
    <col min="145" max="145" width="7.42578125" bestFit="1" customWidth="1"/>
    <col min="146" max="146" width="6.28515625" customWidth="1"/>
    <col min="147" max="147" width="8.85546875" customWidth="1"/>
    <col min="148" max="148" width="7.42578125" bestFit="1" customWidth="1"/>
    <col min="149" max="149" width="9.85546875" bestFit="1" customWidth="1"/>
    <col min="150" max="150" width="9.42578125" bestFit="1" customWidth="1"/>
    <col min="151" max="151" width="7.42578125" bestFit="1" customWidth="1"/>
    <col min="152" max="152" width="8" bestFit="1" customWidth="1"/>
    <col min="153" max="153" width="11.28515625" bestFit="1" customWidth="1"/>
    <col min="154" max="154" width="9.140625" customWidth="1"/>
    <col min="155" max="155" width="7.85546875" bestFit="1" customWidth="1"/>
    <col min="156" max="156" width="8.85546875" customWidth="1"/>
    <col min="157" max="157" width="7.42578125" bestFit="1" customWidth="1"/>
    <col min="158" max="158" width="8.28515625" bestFit="1" customWidth="1"/>
    <col min="159" max="159" width="8.85546875" bestFit="1" customWidth="1"/>
    <col min="160" max="160" width="7.42578125" bestFit="1" customWidth="1"/>
    <col min="161" max="162" width="8.28515625" bestFit="1" customWidth="1"/>
    <col min="163" max="163" width="7.42578125" bestFit="1" customWidth="1"/>
    <col min="164" max="164" width="9.85546875" bestFit="1" customWidth="1"/>
    <col min="165" max="165" width="9" bestFit="1" customWidth="1"/>
    <col min="166" max="166" width="7.42578125" bestFit="1" customWidth="1"/>
    <col min="167" max="167" width="8.28515625" bestFit="1" customWidth="1"/>
    <col min="168" max="168" width="12.85546875" bestFit="1" customWidth="1"/>
    <col min="169" max="169" width="9.140625" customWidth="1"/>
    <col min="170" max="170" width="7.7109375" bestFit="1" customWidth="1"/>
    <col min="171" max="171" width="8.28515625" bestFit="1" customWidth="1"/>
    <col min="172" max="172" width="7.42578125" bestFit="1" customWidth="1"/>
    <col min="173" max="173" width="6.5703125" bestFit="1" customWidth="1"/>
    <col min="174" max="174" width="9" bestFit="1" customWidth="1"/>
    <col min="175" max="175" width="7.42578125" bestFit="1" customWidth="1"/>
    <col min="176" max="176" width="6.5703125" bestFit="1" customWidth="1"/>
    <col min="177" max="177" width="9" bestFit="1" customWidth="1"/>
    <col min="178" max="178" width="7.42578125" bestFit="1" customWidth="1"/>
    <col min="179" max="179" width="9.85546875" bestFit="1" customWidth="1"/>
    <col min="180" max="180" width="9" bestFit="1" customWidth="1"/>
    <col min="181" max="181" width="7.42578125" bestFit="1" customWidth="1"/>
    <col min="182" max="182" width="8" customWidth="1"/>
    <col min="183" max="183" width="12.85546875" bestFit="1" customWidth="1"/>
    <col min="184" max="184" width="9.140625" customWidth="1"/>
    <col min="185" max="185" width="6.85546875" bestFit="1" customWidth="1"/>
    <col min="186" max="186" width="8.85546875" bestFit="1" customWidth="1"/>
    <col min="187" max="187" width="7.42578125" bestFit="1" customWidth="1"/>
    <col min="188" max="188" width="7.28515625" bestFit="1" customWidth="1"/>
    <col min="189" max="189" width="8.85546875" bestFit="1" customWidth="1"/>
    <col min="190" max="190" width="7.42578125" bestFit="1" customWidth="1"/>
    <col min="191" max="191" width="7.28515625" bestFit="1" customWidth="1"/>
    <col min="192" max="192" width="8.28515625" bestFit="1" customWidth="1"/>
    <col min="193" max="193" width="7.42578125" bestFit="1" customWidth="1"/>
    <col min="194" max="194" width="9.85546875" bestFit="1" customWidth="1"/>
    <col min="195" max="195" width="9" bestFit="1" customWidth="1"/>
    <col min="196" max="196" width="7.42578125" bestFit="1" customWidth="1"/>
    <col min="197" max="197" width="9.7109375" bestFit="1" customWidth="1"/>
    <col min="198" max="198" width="12" bestFit="1" customWidth="1"/>
    <col min="199" max="199" width="9.140625" customWidth="1"/>
    <col min="200" max="200" width="9.5703125" bestFit="1" customWidth="1"/>
    <col min="201" max="201" width="8.85546875" bestFit="1" customWidth="1"/>
    <col min="202" max="202" width="7.42578125" bestFit="1" customWidth="1"/>
    <col min="203" max="203" width="7.5703125" bestFit="1" customWidth="1"/>
    <col min="204" max="204" width="8.85546875" bestFit="1" customWidth="1"/>
    <col min="205" max="205" width="7.42578125" bestFit="1" customWidth="1"/>
    <col min="206" max="206" width="7.5703125" bestFit="1" customWidth="1"/>
    <col min="207" max="207" width="8.85546875" bestFit="1" customWidth="1"/>
    <col min="208" max="208" width="7.42578125" bestFit="1" customWidth="1"/>
    <col min="209" max="209" width="9.85546875" bestFit="1" customWidth="1"/>
    <col min="210" max="210" width="9" bestFit="1" customWidth="1"/>
    <col min="211" max="211" width="7.42578125" bestFit="1" customWidth="1"/>
    <col min="212" max="212" width="10.28515625" bestFit="1" customWidth="1"/>
    <col min="213" max="213" width="9" bestFit="1" customWidth="1"/>
    <col min="214" max="214" width="12.5703125" bestFit="1" customWidth="1"/>
  </cols>
  <sheetData>
    <row r="1" spans="1:214" ht="13.5" thickTop="1" x14ac:dyDescent="0.2">
      <c r="A1" s="430" t="s">
        <v>413</v>
      </c>
      <c r="B1" s="431"/>
      <c r="C1" s="432"/>
      <c r="D1" s="98" t="s">
        <v>3</v>
      </c>
      <c r="E1" s="99"/>
      <c r="F1" s="99" t="s">
        <v>15</v>
      </c>
      <c r="G1" s="260" t="s">
        <v>3</v>
      </c>
      <c r="H1" s="114"/>
      <c r="I1" s="114" t="s">
        <v>15</v>
      </c>
      <c r="J1" s="257" t="s">
        <v>3</v>
      </c>
      <c r="K1" s="104"/>
      <c r="L1" s="105" t="s">
        <v>15</v>
      </c>
      <c r="M1" s="117" t="s">
        <v>13</v>
      </c>
      <c r="N1" s="118" t="s">
        <v>14</v>
      </c>
      <c r="O1" s="118" t="s">
        <v>15</v>
      </c>
      <c r="P1" s="252" t="s">
        <v>13</v>
      </c>
      <c r="Q1" s="118" t="s">
        <v>141</v>
      </c>
      <c r="R1" s="118" t="s">
        <v>15</v>
      </c>
      <c r="S1" s="252" t="s">
        <v>13</v>
      </c>
      <c r="T1" s="118" t="s">
        <v>16</v>
      </c>
      <c r="U1" s="119" t="s">
        <v>15</v>
      </c>
      <c r="V1" s="88" t="s">
        <v>1</v>
      </c>
      <c r="W1" s="89" t="s">
        <v>2</v>
      </c>
      <c r="X1" s="89" t="s">
        <v>15</v>
      </c>
      <c r="Y1" s="248" t="s">
        <v>1</v>
      </c>
      <c r="Z1" s="89" t="s">
        <v>4</v>
      </c>
      <c r="AA1" s="90" t="s">
        <v>15</v>
      </c>
      <c r="AB1" s="149" t="s">
        <v>1</v>
      </c>
      <c r="AC1" s="243" t="s">
        <v>4</v>
      </c>
      <c r="AD1" s="240" t="s">
        <v>5</v>
      </c>
      <c r="AE1" s="243" t="s">
        <v>2</v>
      </c>
      <c r="AF1" s="243" t="s">
        <v>7</v>
      </c>
      <c r="AG1" s="240" t="s">
        <v>6</v>
      </c>
      <c r="AH1" s="163" t="s">
        <v>15</v>
      </c>
      <c r="AI1" s="133" t="s">
        <v>13</v>
      </c>
      <c r="AJ1" s="134" t="s">
        <v>14</v>
      </c>
      <c r="AK1" s="134" t="s">
        <v>15</v>
      </c>
      <c r="AL1" s="233" t="s">
        <v>13</v>
      </c>
      <c r="AM1" s="134" t="s">
        <v>141</v>
      </c>
      <c r="AN1" s="134" t="s">
        <v>15</v>
      </c>
      <c r="AO1" s="233" t="s">
        <v>13</v>
      </c>
      <c r="AP1" s="134" t="s">
        <v>16</v>
      </c>
      <c r="AQ1" s="135" t="s">
        <v>15</v>
      </c>
      <c r="AR1" s="141" t="s">
        <v>13</v>
      </c>
      <c r="AS1" s="142" t="s">
        <v>14</v>
      </c>
      <c r="AT1" s="142" t="s">
        <v>15</v>
      </c>
      <c r="AU1" s="236" t="s">
        <v>13</v>
      </c>
      <c r="AV1" s="142" t="s">
        <v>141</v>
      </c>
      <c r="AW1" s="142" t="s">
        <v>15</v>
      </c>
      <c r="AX1" s="236" t="s">
        <v>13</v>
      </c>
      <c r="AY1" s="142" t="s">
        <v>16</v>
      </c>
      <c r="AZ1" s="143" t="s">
        <v>15</v>
      </c>
      <c r="BA1" s="141" t="s">
        <v>13</v>
      </c>
      <c r="BB1" s="142" t="s">
        <v>14</v>
      </c>
      <c r="BC1" s="142" t="s">
        <v>15</v>
      </c>
      <c r="BD1" s="236" t="s">
        <v>13</v>
      </c>
      <c r="BE1" s="142" t="s">
        <v>141</v>
      </c>
      <c r="BF1" s="142" t="s">
        <v>15</v>
      </c>
      <c r="BG1" s="236" t="s">
        <v>13</v>
      </c>
      <c r="BH1" s="142" t="s">
        <v>16</v>
      </c>
      <c r="BI1" s="143" t="s">
        <v>15</v>
      </c>
      <c r="BJ1" s="141" t="s">
        <v>13</v>
      </c>
      <c r="BK1" s="142" t="s">
        <v>14</v>
      </c>
      <c r="BL1" s="142" t="s">
        <v>15</v>
      </c>
      <c r="BM1" s="236" t="s">
        <v>13</v>
      </c>
      <c r="BN1" s="142" t="s">
        <v>141</v>
      </c>
      <c r="BO1" s="142" t="s">
        <v>15</v>
      </c>
      <c r="BP1" s="236" t="s">
        <v>13</v>
      </c>
      <c r="BQ1" s="142" t="s">
        <v>16</v>
      </c>
      <c r="BR1" s="143" t="s">
        <v>15</v>
      </c>
      <c r="BS1" s="230" t="s">
        <v>8</v>
      </c>
      <c r="BT1" s="76"/>
      <c r="BU1" s="76" t="s">
        <v>15</v>
      </c>
      <c r="BV1" s="230" t="s">
        <v>8</v>
      </c>
      <c r="BW1" s="76"/>
      <c r="BX1" s="76" t="s">
        <v>15</v>
      </c>
      <c r="BY1" s="230" t="s">
        <v>397</v>
      </c>
      <c r="BZ1" s="76"/>
      <c r="CA1" s="76" t="s">
        <v>15</v>
      </c>
      <c r="CB1" s="230" t="s">
        <v>8</v>
      </c>
      <c r="CC1" s="76" t="s">
        <v>14</v>
      </c>
      <c r="CD1" s="76" t="s">
        <v>15</v>
      </c>
      <c r="CE1" s="230" t="s">
        <v>8</v>
      </c>
      <c r="CF1" s="76" t="s">
        <v>141</v>
      </c>
      <c r="CG1" s="76" t="s">
        <v>15</v>
      </c>
      <c r="CH1" s="230" t="s">
        <v>8</v>
      </c>
      <c r="CI1" s="76" t="s">
        <v>16</v>
      </c>
      <c r="CJ1" s="77" t="s">
        <v>15</v>
      </c>
      <c r="CK1" s="230" t="s">
        <v>8</v>
      </c>
      <c r="CL1" s="76" t="s">
        <v>301</v>
      </c>
      <c r="CM1" s="77" t="s">
        <v>15</v>
      </c>
      <c r="CN1" s="230" t="s">
        <v>8</v>
      </c>
      <c r="CO1" s="76" t="s">
        <v>301</v>
      </c>
      <c r="CP1" s="77" t="s">
        <v>15</v>
      </c>
      <c r="CQ1" s="230" t="s">
        <v>8</v>
      </c>
      <c r="CR1" s="76" t="s">
        <v>301</v>
      </c>
      <c r="CS1" s="77" t="s">
        <v>15</v>
      </c>
      <c r="CT1" s="382" t="s">
        <v>295</v>
      </c>
      <c r="CU1" s="383"/>
      <c r="CV1" s="384" t="s">
        <v>15</v>
      </c>
      <c r="CW1" s="265" t="s">
        <v>295</v>
      </c>
      <c r="CX1" s="174"/>
      <c r="CY1" s="174" t="s">
        <v>15</v>
      </c>
      <c r="CZ1" s="268" t="s">
        <v>9</v>
      </c>
      <c r="DA1" s="178"/>
      <c r="DB1" s="179" t="s">
        <v>15</v>
      </c>
      <c r="DC1" s="307" t="s">
        <v>9</v>
      </c>
      <c r="DD1" s="307"/>
      <c r="DE1" s="307" t="s">
        <v>15</v>
      </c>
      <c r="DF1" s="27" t="s">
        <v>9</v>
      </c>
      <c r="DG1" s="28" t="s">
        <v>10</v>
      </c>
      <c r="DH1" s="28" t="s">
        <v>15</v>
      </c>
      <c r="DI1" s="226" t="s">
        <v>9</v>
      </c>
      <c r="DJ1" s="28" t="s">
        <v>11</v>
      </c>
      <c r="DK1" s="28" t="s">
        <v>15</v>
      </c>
      <c r="DL1" s="226" t="s">
        <v>9</v>
      </c>
      <c r="DM1" s="28" t="s">
        <v>12</v>
      </c>
      <c r="DN1" s="28" t="s">
        <v>15</v>
      </c>
      <c r="DO1" s="226" t="s">
        <v>9</v>
      </c>
      <c r="DP1" s="28" t="s">
        <v>12</v>
      </c>
      <c r="DQ1" s="29" t="s">
        <v>15</v>
      </c>
      <c r="DR1" s="23" t="s">
        <v>9</v>
      </c>
      <c r="DS1" s="23"/>
      <c r="DT1" s="23" t="s">
        <v>15</v>
      </c>
      <c r="DU1" s="315" t="s">
        <v>9</v>
      </c>
      <c r="DV1" s="316" t="s">
        <v>10</v>
      </c>
      <c r="DW1" s="316" t="s">
        <v>15</v>
      </c>
      <c r="DX1" s="317" t="s">
        <v>9</v>
      </c>
      <c r="DY1" s="316" t="s">
        <v>11</v>
      </c>
      <c r="DZ1" s="316" t="s">
        <v>15</v>
      </c>
      <c r="EA1" s="317" t="s">
        <v>9</v>
      </c>
      <c r="EB1" s="316" t="s">
        <v>12</v>
      </c>
      <c r="EC1" s="316" t="s">
        <v>15</v>
      </c>
      <c r="ED1" s="317" t="s">
        <v>9</v>
      </c>
      <c r="EE1" s="316" t="s">
        <v>12</v>
      </c>
      <c r="EF1" s="318" t="s">
        <v>15</v>
      </c>
      <c r="EG1" s="18" t="s">
        <v>9</v>
      </c>
      <c r="EH1" s="18"/>
      <c r="EI1" s="18" t="s">
        <v>15</v>
      </c>
      <c r="EJ1" s="332" t="s">
        <v>9</v>
      </c>
      <c r="EK1" s="333" t="s">
        <v>10</v>
      </c>
      <c r="EL1" s="333" t="s">
        <v>15</v>
      </c>
      <c r="EM1" s="334" t="s">
        <v>9</v>
      </c>
      <c r="EN1" s="333" t="s">
        <v>11</v>
      </c>
      <c r="EO1" s="333" t="s">
        <v>15</v>
      </c>
      <c r="EP1" s="334" t="s">
        <v>9</v>
      </c>
      <c r="EQ1" s="333" t="s">
        <v>12</v>
      </c>
      <c r="ER1" s="333" t="s">
        <v>15</v>
      </c>
      <c r="ES1" s="334" t="s">
        <v>9</v>
      </c>
      <c r="ET1" s="333" t="s">
        <v>12</v>
      </c>
      <c r="EU1" s="335" t="s">
        <v>15</v>
      </c>
      <c r="EV1" s="37" t="s">
        <v>9</v>
      </c>
      <c r="EW1" s="37"/>
      <c r="EX1" s="37" t="s">
        <v>15</v>
      </c>
      <c r="EY1" s="192" t="s">
        <v>9</v>
      </c>
      <c r="EZ1" s="193" t="s">
        <v>10</v>
      </c>
      <c r="FA1" s="193" t="s">
        <v>15</v>
      </c>
      <c r="FB1" s="221" t="s">
        <v>9</v>
      </c>
      <c r="FC1" s="193" t="s">
        <v>11</v>
      </c>
      <c r="FD1" s="193" t="s">
        <v>15</v>
      </c>
      <c r="FE1" s="221" t="s">
        <v>9</v>
      </c>
      <c r="FF1" s="193" t="s">
        <v>12</v>
      </c>
      <c r="FG1" s="193" t="s">
        <v>15</v>
      </c>
      <c r="FH1" s="221" t="s">
        <v>9</v>
      </c>
      <c r="FI1" s="193" t="s">
        <v>12</v>
      </c>
      <c r="FJ1" s="194" t="s">
        <v>15</v>
      </c>
      <c r="FK1" s="41" t="s">
        <v>9</v>
      </c>
      <c r="FL1" s="42"/>
      <c r="FM1" s="43" t="s">
        <v>15</v>
      </c>
      <c r="FN1" s="204" t="s">
        <v>9</v>
      </c>
      <c r="FO1" s="205" t="s">
        <v>10</v>
      </c>
      <c r="FP1" s="205" t="s">
        <v>15</v>
      </c>
      <c r="FQ1" s="216" t="s">
        <v>9</v>
      </c>
      <c r="FR1" s="205" t="s">
        <v>11</v>
      </c>
      <c r="FS1" s="205" t="s">
        <v>15</v>
      </c>
      <c r="FT1" s="216" t="s">
        <v>9</v>
      </c>
      <c r="FU1" s="205" t="s">
        <v>12</v>
      </c>
      <c r="FV1" s="205" t="s">
        <v>15</v>
      </c>
      <c r="FW1" s="216" t="s">
        <v>9</v>
      </c>
      <c r="FX1" s="205" t="s">
        <v>12</v>
      </c>
      <c r="FY1" s="206" t="s">
        <v>15</v>
      </c>
      <c r="FZ1" s="53" t="s">
        <v>9</v>
      </c>
      <c r="GA1" s="54"/>
      <c r="GB1" s="55" t="s">
        <v>15</v>
      </c>
      <c r="GC1" s="272" t="s">
        <v>9</v>
      </c>
      <c r="GD1" s="273" t="s">
        <v>10</v>
      </c>
      <c r="GE1" s="273" t="s">
        <v>15</v>
      </c>
      <c r="GF1" s="284" t="s">
        <v>9</v>
      </c>
      <c r="GG1" s="273" t="s">
        <v>11</v>
      </c>
      <c r="GH1" s="273" t="s">
        <v>15</v>
      </c>
      <c r="GI1" s="284" t="s">
        <v>9</v>
      </c>
      <c r="GJ1" s="273" t="s">
        <v>12</v>
      </c>
      <c r="GK1" s="273" t="s">
        <v>15</v>
      </c>
      <c r="GL1" s="284" t="s">
        <v>9</v>
      </c>
      <c r="GM1" s="273" t="s">
        <v>12</v>
      </c>
      <c r="GN1" s="274" t="s">
        <v>15</v>
      </c>
      <c r="GO1" s="65" t="s">
        <v>9</v>
      </c>
      <c r="GP1" s="66"/>
      <c r="GQ1" s="67" t="s">
        <v>15</v>
      </c>
      <c r="GR1" s="288" t="s">
        <v>9</v>
      </c>
      <c r="GS1" s="289" t="s">
        <v>10</v>
      </c>
      <c r="GT1" s="289" t="s">
        <v>15</v>
      </c>
      <c r="GU1" s="296" t="s">
        <v>9</v>
      </c>
      <c r="GV1" s="289" t="s">
        <v>11</v>
      </c>
      <c r="GW1" s="289" t="s">
        <v>15</v>
      </c>
      <c r="GX1" s="296" t="s">
        <v>9</v>
      </c>
      <c r="GY1" s="289" t="s">
        <v>12</v>
      </c>
      <c r="GZ1" s="289" t="s">
        <v>15</v>
      </c>
      <c r="HA1" s="296" t="s">
        <v>9</v>
      </c>
      <c r="HB1" s="289" t="s">
        <v>12</v>
      </c>
      <c r="HC1" s="289" t="s">
        <v>15</v>
      </c>
      <c r="HD1" s="157" t="s">
        <v>456</v>
      </c>
      <c r="HE1" s="158" t="s">
        <v>15</v>
      </c>
      <c r="HF1" s="159" t="s">
        <v>17</v>
      </c>
    </row>
    <row r="2" spans="1:214" x14ac:dyDescent="0.2">
      <c r="A2" s="433"/>
      <c r="B2" s="434"/>
      <c r="C2" s="435"/>
      <c r="D2" s="100" t="s">
        <v>18</v>
      </c>
      <c r="E2" s="101" t="s">
        <v>456</v>
      </c>
      <c r="F2" s="101" t="s">
        <v>19</v>
      </c>
      <c r="G2" s="261" t="s">
        <v>20</v>
      </c>
      <c r="H2" s="115" t="s">
        <v>456</v>
      </c>
      <c r="I2" s="115" t="s">
        <v>21</v>
      </c>
      <c r="J2" s="258" t="s">
        <v>11</v>
      </c>
      <c r="K2" s="107" t="s">
        <v>456</v>
      </c>
      <c r="L2" s="108" t="s">
        <v>22</v>
      </c>
      <c r="M2" s="120" t="s">
        <v>32</v>
      </c>
      <c r="N2" s="121" t="s">
        <v>33</v>
      </c>
      <c r="O2" s="131" t="s">
        <v>22</v>
      </c>
      <c r="P2" s="253" t="s">
        <v>32</v>
      </c>
      <c r="Q2" s="121" t="s">
        <v>33</v>
      </c>
      <c r="R2" s="131" t="s">
        <v>22</v>
      </c>
      <c r="S2" s="253" t="s">
        <v>32</v>
      </c>
      <c r="T2" s="121" t="s">
        <v>33</v>
      </c>
      <c r="U2" s="122" t="s">
        <v>22</v>
      </c>
      <c r="V2" s="91" t="s">
        <v>18</v>
      </c>
      <c r="W2" s="92" t="s">
        <v>456</v>
      </c>
      <c r="X2" s="92" t="s">
        <v>19</v>
      </c>
      <c r="Y2" s="249" t="s">
        <v>18</v>
      </c>
      <c r="Z2" s="92" t="s">
        <v>456</v>
      </c>
      <c r="AA2" s="93" t="s">
        <v>19</v>
      </c>
      <c r="AB2" s="150" t="s">
        <v>11</v>
      </c>
      <c r="AC2" s="244" t="s">
        <v>456</v>
      </c>
      <c r="AD2" s="83" t="s">
        <v>456</v>
      </c>
      <c r="AE2" s="244" t="s">
        <v>456</v>
      </c>
      <c r="AF2" s="244" t="s">
        <v>456</v>
      </c>
      <c r="AG2" s="83" t="s">
        <v>456</v>
      </c>
      <c r="AH2" s="164" t="s">
        <v>22</v>
      </c>
      <c r="AI2" s="136" t="s">
        <v>5</v>
      </c>
      <c r="AJ2" s="84" t="s">
        <v>34</v>
      </c>
      <c r="AK2" s="151" t="s">
        <v>22</v>
      </c>
      <c r="AL2" s="234" t="s">
        <v>5</v>
      </c>
      <c r="AM2" s="84" t="s">
        <v>34</v>
      </c>
      <c r="AN2" s="151" t="s">
        <v>22</v>
      </c>
      <c r="AO2" s="234" t="s">
        <v>5</v>
      </c>
      <c r="AP2" s="84" t="s">
        <v>34</v>
      </c>
      <c r="AQ2" s="137" t="s">
        <v>22</v>
      </c>
      <c r="AR2" s="144" t="s">
        <v>2</v>
      </c>
      <c r="AS2" s="86" t="s">
        <v>34</v>
      </c>
      <c r="AT2" s="152" t="s">
        <v>22</v>
      </c>
      <c r="AU2" s="237" t="s">
        <v>2</v>
      </c>
      <c r="AV2" s="86" t="s">
        <v>34</v>
      </c>
      <c r="AW2" s="152" t="s">
        <v>22</v>
      </c>
      <c r="AX2" s="237" t="s">
        <v>2</v>
      </c>
      <c r="AY2" s="86" t="s">
        <v>34</v>
      </c>
      <c r="AZ2" s="145" t="s">
        <v>22</v>
      </c>
      <c r="BA2" s="144" t="s">
        <v>4</v>
      </c>
      <c r="BB2" s="86" t="s">
        <v>34</v>
      </c>
      <c r="BC2" s="152" t="s">
        <v>22</v>
      </c>
      <c r="BD2" s="237" t="s">
        <v>4</v>
      </c>
      <c r="BE2" s="86" t="s">
        <v>34</v>
      </c>
      <c r="BF2" s="152" t="s">
        <v>22</v>
      </c>
      <c r="BG2" s="237" t="s">
        <v>4</v>
      </c>
      <c r="BH2" s="86" t="s">
        <v>34</v>
      </c>
      <c r="BI2" s="145" t="s">
        <v>22</v>
      </c>
      <c r="BJ2" s="144" t="s">
        <v>222</v>
      </c>
      <c r="BK2" s="86" t="s">
        <v>34</v>
      </c>
      <c r="BL2" s="152" t="s">
        <v>22</v>
      </c>
      <c r="BM2" s="237" t="s">
        <v>222</v>
      </c>
      <c r="BN2" s="86" t="s">
        <v>34</v>
      </c>
      <c r="BO2" s="152" t="s">
        <v>22</v>
      </c>
      <c r="BP2" s="237" t="s">
        <v>222</v>
      </c>
      <c r="BQ2" s="86" t="s">
        <v>34</v>
      </c>
      <c r="BR2" s="145" t="s">
        <v>22</v>
      </c>
      <c r="BS2" s="231" t="s">
        <v>18</v>
      </c>
      <c r="BT2" s="78" t="s">
        <v>456</v>
      </c>
      <c r="BU2" s="155" t="s">
        <v>19</v>
      </c>
      <c r="BV2" s="231" t="s">
        <v>23</v>
      </c>
      <c r="BW2" s="78" t="s">
        <v>456</v>
      </c>
      <c r="BX2" s="155" t="s">
        <v>21</v>
      </c>
      <c r="BY2" s="231" t="s">
        <v>11</v>
      </c>
      <c r="BZ2" s="78" t="s">
        <v>456</v>
      </c>
      <c r="CA2" s="155" t="s">
        <v>22</v>
      </c>
      <c r="CB2" s="231" t="s">
        <v>32</v>
      </c>
      <c r="CC2" s="78" t="s">
        <v>13</v>
      </c>
      <c r="CD2" s="155" t="s">
        <v>22</v>
      </c>
      <c r="CE2" s="231" t="s">
        <v>32</v>
      </c>
      <c r="CF2" s="78" t="s">
        <v>13</v>
      </c>
      <c r="CG2" s="155" t="s">
        <v>22</v>
      </c>
      <c r="CH2" s="231" t="s">
        <v>32</v>
      </c>
      <c r="CI2" s="78" t="s">
        <v>13</v>
      </c>
      <c r="CJ2" s="79" t="s">
        <v>22</v>
      </c>
      <c r="CK2" s="231" t="s">
        <v>303</v>
      </c>
      <c r="CL2" s="78"/>
      <c r="CM2" s="79" t="s">
        <v>22</v>
      </c>
      <c r="CN2" s="231" t="s">
        <v>11</v>
      </c>
      <c r="CO2" s="78"/>
      <c r="CP2" s="79" t="s">
        <v>22</v>
      </c>
      <c r="CQ2" s="231" t="s">
        <v>10</v>
      </c>
      <c r="CR2" s="78"/>
      <c r="CS2" s="79" t="s">
        <v>22</v>
      </c>
      <c r="CT2" s="385" t="s">
        <v>11</v>
      </c>
      <c r="CU2" s="386" t="s">
        <v>456</v>
      </c>
      <c r="CV2" s="387" t="s">
        <v>22</v>
      </c>
      <c r="CW2" s="266" t="s">
        <v>18</v>
      </c>
      <c r="CX2" s="175" t="s">
        <v>456</v>
      </c>
      <c r="CY2" s="175" t="s">
        <v>19</v>
      </c>
      <c r="CZ2" s="269" t="s">
        <v>20</v>
      </c>
      <c r="DA2" s="180" t="s">
        <v>456</v>
      </c>
      <c r="DB2" s="181" t="s">
        <v>25</v>
      </c>
      <c r="DC2" s="308" t="s">
        <v>26</v>
      </c>
      <c r="DD2" s="308" t="s">
        <v>456</v>
      </c>
      <c r="DE2" s="308" t="s">
        <v>25</v>
      </c>
      <c r="DF2" s="30" t="s">
        <v>26</v>
      </c>
      <c r="DG2" s="31" t="s">
        <v>456</v>
      </c>
      <c r="DH2" s="31" t="s">
        <v>29</v>
      </c>
      <c r="DI2" s="227" t="s">
        <v>26</v>
      </c>
      <c r="DJ2" s="31" t="s">
        <v>456</v>
      </c>
      <c r="DK2" s="31" t="s">
        <v>29</v>
      </c>
      <c r="DL2" s="227" t="s">
        <v>26</v>
      </c>
      <c r="DM2" s="31" t="s">
        <v>30</v>
      </c>
      <c r="DN2" s="31" t="s">
        <v>29</v>
      </c>
      <c r="DO2" s="227" t="s">
        <v>26</v>
      </c>
      <c r="DP2" s="31" t="s">
        <v>31</v>
      </c>
      <c r="DQ2" s="32" t="s">
        <v>29</v>
      </c>
      <c r="DR2" s="24" t="s">
        <v>27</v>
      </c>
      <c r="DS2" s="24" t="s">
        <v>456</v>
      </c>
      <c r="DT2" s="24" t="s">
        <v>25</v>
      </c>
      <c r="DU2" s="319" t="s">
        <v>27</v>
      </c>
      <c r="DV2" s="320" t="s">
        <v>456</v>
      </c>
      <c r="DW2" s="320" t="s">
        <v>29</v>
      </c>
      <c r="DX2" s="314" t="s">
        <v>27</v>
      </c>
      <c r="DY2" s="320" t="s">
        <v>456</v>
      </c>
      <c r="DZ2" s="320" t="s">
        <v>29</v>
      </c>
      <c r="EA2" s="314" t="s">
        <v>27</v>
      </c>
      <c r="EB2" s="320" t="s">
        <v>30</v>
      </c>
      <c r="EC2" s="320" t="s">
        <v>29</v>
      </c>
      <c r="ED2" s="314" t="s">
        <v>27</v>
      </c>
      <c r="EE2" s="320" t="s">
        <v>31</v>
      </c>
      <c r="EF2" s="321" t="s">
        <v>29</v>
      </c>
      <c r="EG2" s="19" t="s">
        <v>28</v>
      </c>
      <c r="EH2" s="19" t="s">
        <v>456</v>
      </c>
      <c r="EI2" s="19" t="s">
        <v>25</v>
      </c>
      <c r="EJ2" s="336" t="s">
        <v>28</v>
      </c>
      <c r="EK2" s="337" t="s">
        <v>456</v>
      </c>
      <c r="EL2" s="337" t="s">
        <v>29</v>
      </c>
      <c r="EM2" s="331" t="s">
        <v>28</v>
      </c>
      <c r="EN2" s="337" t="s">
        <v>456</v>
      </c>
      <c r="EO2" s="337" t="s">
        <v>29</v>
      </c>
      <c r="EP2" s="331" t="s">
        <v>28</v>
      </c>
      <c r="EQ2" s="337" t="s">
        <v>30</v>
      </c>
      <c r="ER2" s="337" t="s">
        <v>29</v>
      </c>
      <c r="ES2" s="331" t="s">
        <v>28</v>
      </c>
      <c r="ET2" s="337" t="s">
        <v>31</v>
      </c>
      <c r="EU2" s="338" t="s">
        <v>29</v>
      </c>
      <c r="EV2" s="38" t="s">
        <v>230</v>
      </c>
      <c r="EW2" s="38" t="s">
        <v>456</v>
      </c>
      <c r="EX2" s="38" t="s">
        <v>25</v>
      </c>
      <c r="EY2" s="195" t="s">
        <v>230</v>
      </c>
      <c r="EZ2" s="196" t="s">
        <v>456</v>
      </c>
      <c r="FA2" s="196" t="s">
        <v>29</v>
      </c>
      <c r="FB2" s="222" t="s">
        <v>230</v>
      </c>
      <c r="FC2" s="196" t="s">
        <v>456</v>
      </c>
      <c r="FD2" s="196" t="s">
        <v>29</v>
      </c>
      <c r="FE2" s="222" t="s">
        <v>230</v>
      </c>
      <c r="FF2" s="196" t="s">
        <v>30</v>
      </c>
      <c r="FG2" s="196" t="s">
        <v>29</v>
      </c>
      <c r="FH2" s="222" t="s">
        <v>230</v>
      </c>
      <c r="FI2" s="196" t="s">
        <v>31</v>
      </c>
      <c r="FJ2" s="197" t="s">
        <v>29</v>
      </c>
      <c r="FK2" s="44" t="s">
        <v>150</v>
      </c>
      <c r="FL2" s="45" t="s">
        <v>456</v>
      </c>
      <c r="FM2" s="46" t="s">
        <v>25</v>
      </c>
      <c r="FN2" s="207" t="s">
        <v>150</v>
      </c>
      <c r="FO2" s="208" t="s">
        <v>456</v>
      </c>
      <c r="FP2" s="208" t="s">
        <v>29</v>
      </c>
      <c r="FQ2" s="217" t="s">
        <v>150</v>
      </c>
      <c r="FR2" s="208" t="s">
        <v>456</v>
      </c>
      <c r="FS2" s="208" t="s">
        <v>29</v>
      </c>
      <c r="FT2" s="217" t="s">
        <v>150</v>
      </c>
      <c r="FU2" s="208" t="s">
        <v>30</v>
      </c>
      <c r="FV2" s="208" t="s">
        <v>29</v>
      </c>
      <c r="FW2" s="217" t="s">
        <v>150</v>
      </c>
      <c r="FX2" s="208" t="s">
        <v>31</v>
      </c>
      <c r="FY2" s="209" t="s">
        <v>29</v>
      </c>
      <c r="FZ2" s="56" t="s">
        <v>231</v>
      </c>
      <c r="GA2" s="57" t="s">
        <v>456</v>
      </c>
      <c r="GB2" s="58" t="s">
        <v>25</v>
      </c>
      <c r="GC2" s="275" t="s">
        <v>231</v>
      </c>
      <c r="GD2" s="276" t="s">
        <v>456</v>
      </c>
      <c r="GE2" s="276" t="s">
        <v>29</v>
      </c>
      <c r="GF2" s="285" t="s">
        <v>231</v>
      </c>
      <c r="GG2" s="276" t="s">
        <v>456</v>
      </c>
      <c r="GH2" s="276" t="s">
        <v>29</v>
      </c>
      <c r="GI2" s="285" t="s">
        <v>231</v>
      </c>
      <c r="GJ2" s="276" t="s">
        <v>30</v>
      </c>
      <c r="GK2" s="276" t="s">
        <v>29</v>
      </c>
      <c r="GL2" s="285" t="s">
        <v>231</v>
      </c>
      <c r="GM2" s="276" t="s">
        <v>31</v>
      </c>
      <c r="GN2" s="277" t="s">
        <v>29</v>
      </c>
      <c r="GO2" s="22" t="s">
        <v>232</v>
      </c>
      <c r="GP2" s="68" t="s">
        <v>456</v>
      </c>
      <c r="GQ2" s="69" t="s">
        <v>25</v>
      </c>
      <c r="GR2" s="290" t="s">
        <v>232</v>
      </c>
      <c r="GS2" s="291" t="s">
        <v>456</v>
      </c>
      <c r="GT2" s="291" t="s">
        <v>29</v>
      </c>
      <c r="GU2" s="297" t="s">
        <v>232</v>
      </c>
      <c r="GV2" s="291" t="s">
        <v>456</v>
      </c>
      <c r="GW2" s="291" t="s">
        <v>29</v>
      </c>
      <c r="GX2" s="297" t="s">
        <v>232</v>
      </c>
      <c r="GY2" s="291" t="s">
        <v>30</v>
      </c>
      <c r="GZ2" s="291" t="s">
        <v>29</v>
      </c>
      <c r="HA2" s="297" t="s">
        <v>232</v>
      </c>
      <c r="HB2" s="291" t="s">
        <v>31</v>
      </c>
      <c r="HC2" s="291" t="s">
        <v>29</v>
      </c>
      <c r="HD2" s="160" t="s">
        <v>22</v>
      </c>
      <c r="HE2" s="161" t="s">
        <v>33</v>
      </c>
      <c r="HF2" s="162" t="s">
        <v>35</v>
      </c>
    </row>
    <row r="3" spans="1:214" x14ac:dyDescent="0.2">
      <c r="A3" s="433"/>
      <c r="B3" s="434"/>
      <c r="C3" s="435"/>
      <c r="D3" s="100" t="s">
        <v>36</v>
      </c>
      <c r="E3" s="408">
        <f>1/((1/E20)+(1/E21))</f>
        <v>9.4994517478855709</v>
      </c>
      <c r="F3" s="168"/>
      <c r="G3" s="261"/>
      <c r="H3" s="408">
        <f>1/((1/H10)+(1/H11)+(1/H12)+(1/H13))</f>
        <v>2.5760346726538066E-2</v>
      </c>
      <c r="I3" s="167"/>
      <c r="J3" s="258"/>
      <c r="K3" s="408">
        <f>1/((1/K14)+(1/K15)+(1/K16+(1/K17)))</f>
        <v>1.1239069526006597E-2</v>
      </c>
      <c r="L3" s="110"/>
      <c r="M3" s="120" t="s">
        <v>475</v>
      </c>
      <c r="N3" s="123">
        <f>(N5*N6*N7)/((1-EXP(-N7*N6))*N10*N15*(N9/365)*N13*((N14*N12)+(N16*N11)))</f>
        <v>1.2560813397039592</v>
      </c>
      <c r="O3" s="131"/>
      <c r="P3" s="253" t="s">
        <v>475</v>
      </c>
      <c r="Q3" s="123">
        <f>(Q5*Q6*Q7)/((1-EXP(-Q7*Q6))*Q10*Q15*(Q9/365)*Q13*((Q14*Q12)+(Q16*Q11)))</f>
        <v>6.3001564051189147</v>
      </c>
      <c r="R3" s="131"/>
      <c r="S3" s="253" t="s">
        <v>475</v>
      </c>
      <c r="T3" s="123">
        <f>(T5*T6*T7)/((1-EXP(-T7*T6))*T10*T15*(T9/365)*T13*((T14*T12)+(T16*T11)))</f>
        <v>1.4158655383942154</v>
      </c>
      <c r="U3" s="122"/>
      <c r="V3" s="91" t="s">
        <v>37</v>
      </c>
      <c r="W3" s="94">
        <f>1/((1/W18)+(1/W19))</f>
        <v>13.223457001445093</v>
      </c>
      <c r="X3" s="127"/>
      <c r="Y3" s="250" t="s">
        <v>37</v>
      </c>
      <c r="Z3" s="94">
        <f>1/((1/Z18)+(1/Z19))</f>
        <v>11.901111301300585</v>
      </c>
      <c r="AA3" s="95"/>
      <c r="AB3" s="150"/>
      <c r="AC3" s="245">
        <f>1/((1/AC37)+(1/AC38)+(1/AC39))</f>
        <v>0.68178046406365334</v>
      </c>
      <c r="AD3" s="132">
        <f>1/((1/AD37)+(1/AD38)+(1/AD39))</f>
        <v>1.4748228543124247</v>
      </c>
      <c r="AE3" s="245">
        <f>1/((1/AE37)+(1/AE38)+(1/AE39))</f>
        <v>0.75753384895961484</v>
      </c>
      <c r="AF3" s="245">
        <f>1/((1/AF37)+(1/AF38)+(1/AF39))</f>
        <v>0.20280586189184024</v>
      </c>
      <c r="AG3" s="132">
        <f>1/((1/AG37)+(1/AG39)+(1/AG40))</f>
        <v>0.20281024529012129</v>
      </c>
      <c r="AH3" s="165"/>
      <c r="AI3" s="136" t="s">
        <v>475</v>
      </c>
      <c r="AJ3" s="85">
        <f>(AJ5*AJ6*AJ7)/((1-EXP(-AJ7*AJ6))*AJ10*AJ15*(AJ9/365)*AJ13*((AJ14*AJ12)+(AJ16*AJ11)))</f>
        <v>4.5186390927041673</v>
      </c>
      <c r="AK3" s="151"/>
      <c r="AL3" s="234" t="s">
        <v>475</v>
      </c>
      <c r="AM3" s="85">
        <f>(AM5*AM6*AM7)/((1-EXP(-AM7*AM6))*AM10*AM15*(AM9/365)*AM13*((AM14*AM12)+(AM16*AM11)))</f>
        <v>22.664243247997323</v>
      </c>
      <c r="AN3" s="151"/>
      <c r="AO3" s="234" t="s">
        <v>475</v>
      </c>
      <c r="AP3" s="85">
        <f>(AP5*AP6*AP7)/((1-EXP(-AP7*AP6))*AP10*AP15*(AP9/365)*AP13*((AP14*AP12)+(AP16*AP11)))</f>
        <v>5.0934483059103517</v>
      </c>
      <c r="AQ3" s="137"/>
      <c r="AR3" s="144" t="s">
        <v>475</v>
      </c>
      <c r="AS3" s="87">
        <f>(AS5*AS6*AS7)/((1-EXP(-AS7*AS6))*AS10*AS15*(AS9/365)*AS13*((AS14*AS12)+(AS16*AS11)))</f>
        <v>2.0082840412018523</v>
      </c>
      <c r="AT3" s="152"/>
      <c r="AU3" s="237" t="s">
        <v>475</v>
      </c>
      <c r="AV3" s="87">
        <f>(AV5*AV6*AV7)/((1-EXP(-AV7*AV6))*AV10*AV15*(AV9/365)*AV13*((AV14*AV12)+(AV16*AV11)))</f>
        <v>10.07299699910992</v>
      </c>
      <c r="AW3" s="152"/>
      <c r="AX3" s="237" t="s">
        <v>475</v>
      </c>
      <c r="AY3" s="87">
        <f>(AY5*AY6*AY7)/((1-EXP(-AY7*AY6))*AY10*AY15*(AY9/365)*AY13*((AY14*AY12)+(AY16*AY11)))</f>
        <v>2.2637548026268228</v>
      </c>
      <c r="AZ3" s="145"/>
      <c r="BA3" s="144" t="s">
        <v>475</v>
      </c>
      <c r="BB3" s="87">
        <f>(BB5*BB6*BB7)/((1-EXP(-BB7*BB6))*BB10*BB15*(BB9/365)*BB13*((BB14*BB12)+(BB16*BB11)))</f>
        <v>1.8074556370816672</v>
      </c>
      <c r="BC3" s="152"/>
      <c r="BD3" s="237" t="s">
        <v>475</v>
      </c>
      <c r="BE3" s="87">
        <f>(BE5*BE6*BE7)/((1-EXP(-BE7*BE6))*BE10*BE15*(BE9/365)*BE13*((BE14*BE12)+(BE16*BE11)))</f>
        <v>9.0656972991989306</v>
      </c>
      <c r="BF3" s="152"/>
      <c r="BG3" s="237" t="s">
        <v>475</v>
      </c>
      <c r="BH3" s="87">
        <f>(BH5*BH6*BH7)/((1-EXP(-BH7*BH6))*BH10*BH15*(BH9/365)*BH13*((BH14*BH12)+(BH16*BH11)))</f>
        <v>2.0373793223641408</v>
      </c>
      <c r="BI3" s="145"/>
      <c r="BJ3" s="144" t="s">
        <v>475</v>
      </c>
      <c r="BK3" s="87">
        <f>(BK5*BK6*BK7)/((1-EXP(-BK7*BK6))*BK12*BK16*(BK9/365)*BK14*BK15*BK13)</f>
        <v>7653.8131192376695</v>
      </c>
      <c r="BL3" s="152"/>
      <c r="BM3" s="237" t="s">
        <v>475</v>
      </c>
      <c r="BN3" s="87">
        <f>(BN5*BN6*BN7)/((1-EXP(-BN7*BN6))*BN12*BN16*(BN9/365)*BN14*BN15*BN13)</f>
        <v>80139.894184816556</v>
      </c>
      <c r="BO3" s="152"/>
      <c r="BP3" s="237" t="s">
        <v>475</v>
      </c>
      <c r="BQ3" s="87">
        <f>(BQ5*BQ6*BQ7)/((1-EXP(-BQ7*BQ6))*BQ12*BQ16*(BQ9/365)*BQ14*BQ15*BQ13)</f>
        <v>10464.721906147677</v>
      </c>
      <c r="BR3" s="145"/>
      <c r="BS3" s="231" t="s">
        <v>36</v>
      </c>
      <c r="BT3" s="80">
        <f>1/((1/BT21)+(1/BT22))</f>
        <v>627.45097233624597</v>
      </c>
      <c r="BU3" s="155"/>
      <c r="BV3" s="231"/>
      <c r="BW3" s="80">
        <f>1/((1/BW10)+(1/BW12))</f>
        <v>0.14085379807565876</v>
      </c>
      <c r="BX3" s="155"/>
      <c r="BY3" s="231"/>
      <c r="BZ3" s="80">
        <f>1/((1/BZ13)+(1/BZ14)+(1/BZ15))</f>
        <v>1.2290827017883046</v>
      </c>
      <c r="CA3" s="155"/>
      <c r="CB3" s="231" t="s">
        <v>475</v>
      </c>
      <c r="CC3" s="80">
        <f>(CC5*CC6*CC7)/((1-EXP(-CC7*CC6))*CC10*CC14*(CC9/365)*CC12*(CC13/24)*CC11)</f>
        <v>771.31075060286162</v>
      </c>
      <c r="CD3" s="155"/>
      <c r="CE3" s="231" t="s">
        <v>475</v>
      </c>
      <c r="CF3" s="80">
        <f>(CF5*CF6*CF7)/((1-EXP(-CF7*CF6))*CF10*CF14*(CF9/365)*CF12*(CF13/24)*CF11)</f>
        <v>8639.6338984273298</v>
      </c>
      <c r="CG3" s="155"/>
      <c r="CH3" s="231" t="s">
        <v>475</v>
      </c>
      <c r="CI3" s="80">
        <f>(CI5*CI6*CI7)/((1-EXP(-CI7*CI6))*CI10*CI14*(CI9/365)*CI12*(CI13/24)*CI11)</f>
        <v>1030.2692006199081</v>
      </c>
      <c r="CJ3" s="79"/>
      <c r="CK3" s="231" t="s">
        <v>456</v>
      </c>
      <c r="CL3" s="80">
        <f>CL5/(CL6*CL7*CL8*CL9)</f>
        <v>0.27720027720027718</v>
      </c>
      <c r="CM3" s="79"/>
      <c r="CN3" s="231" t="s">
        <v>456</v>
      </c>
      <c r="CO3" s="80">
        <f>CL3/(CO5*((CO10*CO12*CO13*(CO6+CO7))+(CO11*CO12)))</f>
        <v>1.9117260496570841E-2</v>
      </c>
      <c r="CP3" s="79"/>
      <c r="CQ3" s="231" t="s">
        <v>456</v>
      </c>
      <c r="CR3" s="80">
        <f>CL3/(CR5*CR6*(1/CR7))</f>
        <v>27.720027720027716</v>
      </c>
      <c r="CS3" s="79"/>
      <c r="CT3" s="385"/>
      <c r="CU3" s="388">
        <f>1/((1/CU14)+(1/CU15)+(1/CU16+(1/CU17)))</f>
        <v>2.6841765616240154E-3</v>
      </c>
      <c r="CV3" s="389"/>
      <c r="CW3" s="266" t="s">
        <v>36</v>
      </c>
      <c r="CX3" s="176">
        <f>1/((1/CX20)+(1/CX21))</f>
        <v>9.084714777922553</v>
      </c>
      <c r="CY3" s="263"/>
      <c r="CZ3" s="270"/>
      <c r="DA3" s="182">
        <f>1/((1/DA13)+(1/DA14)+(1/DA15)+(1/DA16))</f>
        <v>1.9173517089309425E-2</v>
      </c>
      <c r="DB3" s="183"/>
      <c r="DC3" s="308"/>
      <c r="DD3" s="313">
        <f>DD7</f>
        <v>7.8390048696878141E-4</v>
      </c>
      <c r="DE3" s="309" t="s">
        <v>384</v>
      </c>
      <c r="DF3" s="30"/>
      <c r="DG3" s="33">
        <f>DD7/((1/DG24)*(DG5+DG6+DG7))</f>
        <v>6.9656488584855625E-2</v>
      </c>
      <c r="DH3" s="186" t="s">
        <v>384</v>
      </c>
      <c r="DI3" s="227"/>
      <c r="DJ3" s="33">
        <f>DD7/(DJ5+DJ6)</f>
        <v>2.7031051274785563E-3</v>
      </c>
      <c r="DK3" s="186" t="s">
        <v>384</v>
      </c>
      <c r="DL3" s="227"/>
      <c r="DM3" s="33">
        <f>(DD7)/(DM5+DM6)</f>
        <v>2.7031051274785563E-3</v>
      </c>
      <c r="DN3" s="186"/>
      <c r="DO3" s="227"/>
      <c r="DP3" s="33">
        <f>-(DP5+DP6+DP7)/(DP23+DP24)</f>
        <v>-48.306480833505248</v>
      </c>
      <c r="DQ3" s="34"/>
      <c r="DR3" s="24"/>
      <c r="DS3" s="25">
        <f>DS7</f>
        <v>1.0585415557348196E-4</v>
      </c>
      <c r="DT3" s="170" t="s">
        <v>384</v>
      </c>
      <c r="DU3" s="319"/>
      <c r="DV3" s="322">
        <f>DS7/(DV5*DV6)</f>
        <v>1.4382358094223093E-4</v>
      </c>
      <c r="DW3" s="323"/>
      <c r="DX3" s="314"/>
      <c r="DY3" s="322">
        <f>DS7/(DY9*((DY10*DY12*DY13*(DY5+DY6))+(DY11*DY12)))</f>
        <v>7.6204506272843869E-5</v>
      </c>
      <c r="DZ3" s="323" t="s">
        <v>384</v>
      </c>
      <c r="EA3" s="314"/>
      <c r="EB3" s="322">
        <f>DS7/(EB9*((EB10*EB12*EB13*(EB5+EB6))+(EB11*EB12)))</f>
        <v>7.6204506272843869E-5</v>
      </c>
      <c r="EC3" s="323"/>
      <c r="ED3" s="314"/>
      <c r="EE3" s="322">
        <f>-EE15/((EE10*EE12*EE13*(EE5+EE6))+(EE11*EE12))</f>
        <v>-0.52984709303999777</v>
      </c>
      <c r="EF3" s="324"/>
      <c r="EG3" s="19"/>
      <c r="EH3" s="20">
        <f>EH7</f>
        <v>4.9985064394286293E-4</v>
      </c>
      <c r="EI3" s="189" t="s">
        <v>384</v>
      </c>
      <c r="EJ3" s="336"/>
      <c r="EK3" s="339">
        <f>EH7/(EK5*EK6)</f>
        <v>3.1437147417790124E-4</v>
      </c>
      <c r="EL3" s="340"/>
      <c r="EM3" s="331"/>
      <c r="EN3" s="339">
        <f>EH7/(EN9*((EN10*EN12*EN13*(EN5+EN6))+(EN11*EN12)))</f>
        <v>1.376629263332474E-4</v>
      </c>
      <c r="EO3" s="340" t="s">
        <v>384</v>
      </c>
      <c r="EP3" s="331"/>
      <c r="EQ3" s="339">
        <f>EH7/(EQ9*((EQ10*EQ12*EQ13*(EQ5+EQ6))+(EQ11*EQ12)))</f>
        <v>1.376629263332474E-4</v>
      </c>
      <c r="ER3" s="340"/>
      <c r="ES3" s="331"/>
      <c r="ET3" s="339">
        <f>-ET15/((ET10*ET12*ET13*(ET5+ET6))+(ET11*ET12))</f>
        <v>-0.43789891144940407</v>
      </c>
      <c r="EU3" s="341"/>
      <c r="EV3" s="191"/>
      <c r="EW3" s="39">
        <f>EW7</f>
        <v>1.6664889839371009E-3</v>
      </c>
      <c r="EX3" s="191" t="s">
        <v>384</v>
      </c>
      <c r="EY3" s="198"/>
      <c r="EZ3" s="199">
        <f>EW7/(EZ5*EZ6*(1/EZ7))</f>
        <v>10.415556149606878</v>
      </c>
      <c r="FA3" s="199"/>
      <c r="FB3" s="223"/>
      <c r="FC3" s="199">
        <f>EW7/(FC9*((FC10*FC12*FC13*(FC5+FC6))+(FC11*FC12)))</f>
        <v>5.7071540545791118E-2</v>
      </c>
      <c r="FD3" s="220" t="s">
        <v>384</v>
      </c>
      <c r="FE3" s="225"/>
      <c r="FF3" s="199">
        <f>EW7/(FF9*(FF10*FF12*FF13*(FF5*FF6))+(FF11*FF12))</f>
        <v>7.5406741354619958E-2</v>
      </c>
      <c r="FG3" s="199"/>
      <c r="FH3" s="223"/>
      <c r="FI3" s="199">
        <f>FI15/((FI10*FI12*FI13*(FI5+FI6))+(FI11*FI12))</f>
        <v>5.4794520547945202</v>
      </c>
      <c r="FJ3" s="203"/>
      <c r="FK3" s="47"/>
      <c r="FL3" s="48">
        <f>FL7</f>
        <v>5.4352022263779603E-4</v>
      </c>
      <c r="FM3" s="49"/>
      <c r="FN3" s="210"/>
      <c r="FO3" s="211">
        <f>FL7/(FR5*(1/FO7))</f>
        <v>2.7176011131889802E-4</v>
      </c>
      <c r="FP3" s="211"/>
      <c r="FQ3" s="218"/>
      <c r="FR3" s="211">
        <f>(FL7*FR6)/FR5</f>
        <v>2.2284329128149635E-6</v>
      </c>
      <c r="FS3" s="211"/>
      <c r="FT3" s="218"/>
      <c r="FU3" s="211">
        <f>(FL7*FU15)/FU14</f>
        <v>2.2284329128149635E-6</v>
      </c>
      <c r="FV3" s="211"/>
      <c r="FW3" s="218"/>
      <c r="FX3" s="211">
        <f>-FX29/FX30</f>
        <v>-8.199999999999999E-3</v>
      </c>
      <c r="FY3" s="212"/>
      <c r="FZ3" s="59"/>
      <c r="GA3" s="60">
        <f>GA7</f>
        <v>6.9535027841634647E-4</v>
      </c>
      <c r="GB3" s="61" t="s">
        <v>384</v>
      </c>
      <c r="GC3" s="278"/>
      <c r="GD3" s="279">
        <f>FL7/(GD5*GD6*(1/GD7))</f>
        <v>0.13588005565944899</v>
      </c>
      <c r="GE3" s="279"/>
      <c r="GF3" s="286"/>
      <c r="GG3" s="279">
        <f>GA7/((GG9)*((GG10*GG12*GG13*(GG5+GG6))+(GG11*GG12)))</f>
        <v>9.5253462796759773E-4</v>
      </c>
      <c r="GH3" s="279" t="s">
        <v>384</v>
      </c>
      <c r="GI3" s="286"/>
      <c r="GJ3" s="279">
        <f>FL7/(GJ9*(GJ10*GJ12*GJ13*(GJ5*GJ6))+(GJ11*GJ12))</f>
        <v>2.2184498883175349E-2</v>
      </c>
      <c r="GK3" s="279"/>
      <c r="GL3" s="286"/>
      <c r="GM3" s="279">
        <f>GM15/((GM10*GM12*GM13*(GM5+GM6))+(GM11*GM12))</f>
        <v>5.4794520547945202</v>
      </c>
      <c r="GN3" s="280"/>
      <c r="GO3" s="70"/>
      <c r="GP3" s="71">
        <f>GP7</f>
        <v>8.9517017675564336E-4</v>
      </c>
      <c r="GQ3" s="72" t="s">
        <v>384</v>
      </c>
      <c r="GR3" s="292"/>
      <c r="GS3" s="293">
        <f>GP7/(GS5*GS6*(1/GS7))</f>
        <v>0.32718208214753053</v>
      </c>
      <c r="GT3" s="293"/>
      <c r="GU3" s="298"/>
      <c r="GV3" s="293">
        <f>GP7/((GV9)*((GV10*GV12*GV13*(GV5+GV6))+(GV11*GV12)))</f>
        <v>2.3779889936129082E-3</v>
      </c>
      <c r="GW3" s="293" t="s">
        <v>384</v>
      </c>
      <c r="GX3" s="298"/>
      <c r="GY3" s="293">
        <f>GP7/((GY9*((GY10*GY12*GY13*(GY5+GY6))+(GY11*GY12))))</f>
        <v>2.3779889936129082E-3</v>
      </c>
      <c r="GZ3" s="293"/>
      <c r="HA3" s="298"/>
      <c r="HB3" s="293">
        <f>GP7/((HB10*HB12*HB13*(HB5+HB6))+(HB11*HB12))</f>
        <v>5.7071735846709801E-4</v>
      </c>
      <c r="HC3" s="300"/>
      <c r="HD3" s="302">
        <f>HE5*HE13*10^-3*(HE14+(HE9/HE10))*((HE11*HE7)/(1-EXP(-HE7*HE11)))</f>
        <v>1.6760278674542313</v>
      </c>
      <c r="HE3" s="303"/>
      <c r="HF3" s="162" t="s">
        <v>38</v>
      </c>
    </row>
    <row r="4" spans="1:214" ht="13.5" thickBot="1" x14ac:dyDescent="0.25">
      <c r="A4" s="436"/>
      <c r="B4" s="437"/>
      <c r="C4" s="438"/>
      <c r="D4" s="102" t="s">
        <v>37</v>
      </c>
      <c r="E4" s="409">
        <f>1/((1/E22)+(1/E23))</f>
        <v>9.4997509837596823</v>
      </c>
      <c r="F4" s="256"/>
      <c r="G4" s="262"/>
      <c r="H4" s="116"/>
      <c r="I4" s="255"/>
      <c r="J4" s="259" t="s">
        <v>15</v>
      </c>
      <c r="K4" s="112" t="s">
        <v>33</v>
      </c>
      <c r="L4" s="113"/>
      <c r="M4" s="124"/>
      <c r="N4" s="125"/>
      <c r="O4" s="169"/>
      <c r="P4" s="254"/>
      <c r="Q4" s="125"/>
      <c r="R4" s="169"/>
      <c r="S4" s="254"/>
      <c r="T4" s="125"/>
      <c r="U4" s="126"/>
      <c r="V4" s="130" t="s">
        <v>36</v>
      </c>
      <c r="W4" s="96">
        <f>1/((1/W16)+(1/W17))</f>
        <v>13.071895340920861</v>
      </c>
      <c r="X4" s="128"/>
      <c r="Y4" s="251" t="s">
        <v>36</v>
      </c>
      <c r="Z4" s="96">
        <f>1/((1/Z16)+(1/Z17))</f>
        <v>11.764705806828777</v>
      </c>
      <c r="AA4" s="97"/>
      <c r="AB4" s="239" t="s">
        <v>15</v>
      </c>
      <c r="AC4" s="246" t="s">
        <v>39</v>
      </c>
      <c r="AD4" s="241" t="s">
        <v>40</v>
      </c>
      <c r="AE4" s="246" t="s">
        <v>41</v>
      </c>
      <c r="AF4" s="247" t="s">
        <v>42</v>
      </c>
      <c r="AG4" s="242" t="s">
        <v>42</v>
      </c>
      <c r="AH4" s="166"/>
      <c r="AI4" s="138" t="s">
        <v>32</v>
      </c>
      <c r="AJ4" s="139"/>
      <c r="AK4" s="153"/>
      <c r="AL4" s="235" t="s">
        <v>32</v>
      </c>
      <c r="AM4" s="139"/>
      <c r="AN4" s="153"/>
      <c r="AO4" s="235" t="s">
        <v>32</v>
      </c>
      <c r="AP4" s="139"/>
      <c r="AQ4" s="140"/>
      <c r="AR4" s="146" t="s">
        <v>32</v>
      </c>
      <c r="AS4" s="147"/>
      <c r="AT4" s="154"/>
      <c r="AU4" s="238" t="s">
        <v>32</v>
      </c>
      <c r="AV4" s="147"/>
      <c r="AW4" s="154"/>
      <c r="AX4" s="238" t="s">
        <v>32</v>
      </c>
      <c r="AY4" s="147"/>
      <c r="AZ4" s="148"/>
      <c r="BA4" s="146" t="s">
        <v>32</v>
      </c>
      <c r="BB4" s="147"/>
      <c r="BC4" s="154"/>
      <c r="BD4" s="238" t="s">
        <v>32</v>
      </c>
      <c r="BE4" s="147"/>
      <c r="BF4" s="154"/>
      <c r="BG4" s="238" t="s">
        <v>32</v>
      </c>
      <c r="BH4" s="147"/>
      <c r="BI4" s="148"/>
      <c r="BJ4" s="146" t="s">
        <v>32</v>
      </c>
      <c r="BK4" s="147"/>
      <c r="BL4" s="154"/>
      <c r="BM4" s="238" t="s">
        <v>32</v>
      </c>
      <c r="BN4" s="147"/>
      <c r="BO4" s="154"/>
      <c r="BP4" s="238" t="s">
        <v>32</v>
      </c>
      <c r="BQ4" s="147"/>
      <c r="BR4" s="148"/>
      <c r="BS4" s="232" t="s">
        <v>37</v>
      </c>
      <c r="BT4" s="81">
        <f>1/((1/BT23)+(1/BT24))</f>
        <v>834.62326594984302</v>
      </c>
      <c r="BU4" s="156"/>
      <c r="BV4" s="232"/>
      <c r="BW4" s="81"/>
      <c r="BX4" s="156"/>
      <c r="BY4" s="232" t="s">
        <v>15</v>
      </c>
      <c r="BZ4" s="81" t="s">
        <v>33</v>
      </c>
      <c r="CA4" s="156"/>
      <c r="CB4" s="232"/>
      <c r="CC4" s="81"/>
      <c r="CD4" s="156"/>
      <c r="CE4" s="232"/>
      <c r="CF4" s="81"/>
      <c r="CG4" s="156"/>
      <c r="CH4" s="232"/>
      <c r="CI4" s="81"/>
      <c r="CJ4" s="82"/>
      <c r="CK4" s="232"/>
      <c r="CL4" s="81"/>
      <c r="CM4" s="82"/>
      <c r="CN4" s="232"/>
      <c r="CO4" s="81"/>
      <c r="CP4" s="82"/>
      <c r="CQ4" s="232"/>
      <c r="CR4" s="81"/>
      <c r="CS4" s="82"/>
      <c r="CT4" s="390" t="s">
        <v>15</v>
      </c>
      <c r="CU4" s="391" t="s">
        <v>9</v>
      </c>
      <c r="CV4" s="392"/>
      <c r="CW4" s="267" t="s">
        <v>37</v>
      </c>
      <c r="CX4" s="177">
        <f>1/((1/CX22)+(1/CX23))</f>
        <v>9.1900472045692556</v>
      </c>
      <c r="CY4" s="264"/>
      <c r="CZ4" s="271"/>
      <c r="DA4" s="184"/>
      <c r="DB4" s="185"/>
      <c r="DC4" s="310"/>
      <c r="DD4" s="311"/>
      <c r="DE4" s="312"/>
      <c r="DF4" s="35"/>
      <c r="DG4" s="36"/>
      <c r="DH4" s="173"/>
      <c r="DI4" s="229"/>
      <c r="DJ4" s="36"/>
      <c r="DK4" s="187"/>
      <c r="DL4" s="229"/>
      <c r="DM4" s="36"/>
      <c r="DN4" s="173"/>
      <c r="DO4" s="229"/>
      <c r="DP4" s="36"/>
      <c r="DQ4" s="228"/>
      <c r="DR4" s="188"/>
      <c r="DS4" s="26"/>
      <c r="DT4" s="171"/>
      <c r="DU4" s="325"/>
      <c r="DV4" s="326"/>
      <c r="DW4" s="327"/>
      <c r="DX4" s="328"/>
      <c r="DY4" s="326"/>
      <c r="DZ4" s="329"/>
      <c r="EA4" s="328"/>
      <c r="EB4" s="326"/>
      <c r="EC4" s="327"/>
      <c r="ED4" s="328"/>
      <c r="EE4" s="326"/>
      <c r="EF4" s="330"/>
      <c r="EG4" s="172"/>
      <c r="EH4" s="21"/>
      <c r="EI4" s="190"/>
      <c r="EJ4" s="342"/>
      <c r="EK4" s="343"/>
      <c r="EL4" s="344"/>
      <c r="EM4" s="345"/>
      <c r="EN4" s="343"/>
      <c r="EO4" s="346"/>
      <c r="EP4" s="345"/>
      <c r="EQ4" s="343"/>
      <c r="ER4" s="344"/>
      <c r="ES4" s="345"/>
      <c r="ET4" s="343"/>
      <c r="EU4" s="347"/>
      <c r="EV4" s="40"/>
      <c r="EW4" s="40"/>
      <c r="EX4" s="40"/>
      <c r="EY4" s="200"/>
      <c r="EZ4" s="201"/>
      <c r="FA4" s="201"/>
      <c r="FB4" s="224"/>
      <c r="FC4" s="201"/>
      <c r="FD4" s="201"/>
      <c r="FE4" s="224"/>
      <c r="FF4" s="201"/>
      <c r="FG4" s="201"/>
      <c r="FH4" s="224"/>
      <c r="FI4" s="201"/>
      <c r="FJ4" s="202"/>
      <c r="FK4" s="50"/>
      <c r="FL4" s="51" t="s">
        <v>384</v>
      </c>
      <c r="FM4" s="52"/>
      <c r="FN4" s="213"/>
      <c r="FO4" s="214"/>
      <c r="FP4" s="214"/>
      <c r="FQ4" s="219"/>
      <c r="FR4" s="214" t="s">
        <v>384</v>
      </c>
      <c r="FS4" s="214"/>
      <c r="FT4" s="219"/>
      <c r="FU4" s="214"/>
      <c r="FV4" s="214"/>
      <c r="FW4" s="219"/>
      <c r="FX4" s="214"/>
      <c r="FY4" s="215"/>
      <c r="FZ4" s="62"/>
      <c r="GA4" s="63"/>
      <c r="GB4" s="64"/>
      <c r="GC4" s="281"/>
      <c r="GD4" s="282"/>
      <c r="GE4" s="282"/>
      <c r="GF4" s="287"/>
      <c r="GG4" s="282"/>
      <c r="GH4" s="282"/>
      <c r="GI4" s="287"/>
      <c r="GJ4" s="282"/>
      <c r="GK4" s="282"/>
      <c r="GL4" s="287"/>
      <c r="GM4" s="282"/>
      <c r="GN4" s="283"/>
      <c r="GO4" s="73"/>
      <c r="GP4" s="74"/>
      <c r="GQ4" s="75"/>
      <c r="GR4" s="294"/>
      <c r="GS4" s="295"/>
      <c r="GT4" s="295"/>
      <c r="GU4" s="299"/>
      <c r="GV4" s="295"/>
      <c r="GW4" s="295"/>
      <c r="GX4" s="299"/>
      <c r="GY4" s="295"/>
      <c r="GZ4" s="295"/>
      <c r="HA4" s="299"/>
      <c r="HB4" s="295"/>
      <c r="HC4" s="301"/>
      <c r="HD4" s="304">
        <f>HE6*HE13*10^-3*(HE14+(HE9/HE10))*((HE11*HE7)/(1-EXP(-HE7*HE11)))</f>
        <v>2.8783372659307452E-3</v>
      </c>
      <c r="HE4" s="305"/>
      <c r="HF4" s="306" t="s">
        <v>43</v>
      </c>
    </row>
    <row r="5" spans="1:214" ht="13.5" thickTop="1" x14ac:dyDescent="0.2">
      <c r="A5" t="s">
        <v>436</v>
      </c>
      <c r="B5" s="410">
        <v>1.7E-5</v>
      </c>
      <c r="C5" t="s">
        <v>448</v>
      </c>
      <c r="D5" t="s">
        <v>485</v>
      </c>
      <c r="E5" s="1">
        <v>1</v>
      </c>
      <c r="G5" t="s">
        <v>485</v>
      </c>
      <c r="H5" s="1">
        <v>1</v>
      </c>
      <c r="J5" t="s">
        <v>485</v>
      </c>
      <c r="K5" s="1">
        <v>1</v>
      </c>
      <c r="M5" t="s">
        <v>485</v>
      </c>
      <c r="N5" s="1">
        <v>1</v>
      </c>
      <c r="P5" t="s">
        <v>485</v>
      </c>
      <c r="Q5" s="1">
        <v>1</v>
      </c>
      <c r="S5" t="s">
        <v>485</v>
      </c>
      <c r="T5" s="1">
        <v>1</v>
      </c>
      <c r="V5" t="s">
        <v>458</v>
      </c>
      <c r="W5" s="1">
        <v>1</v>
      </c>
      <c r="X5" t="s">
        <v>459</v>
      </c>
      <c r="Y5" t="s">
        <v>458</v>
      </c>
      <c r="Z5" s="1">
        <v>1</v>
      </c>
      <c r="AA5" t="s">
        <v>459</v>
      </c>
      <c r="AB5" t="s">
        <v>458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t="s">
        <v>459</v>
      </c>
      <c r="AI5" t="s">
        <v>458</v>
      </c>
      <c r="AJ5" s="1">
        <v>1</v>
      </c>
      <c r="AK5" t="s">
        <v>459</v>
      </c>
      <c r="AL5" t="s">
        <v>458</v>
      </c>
      <c r="AM5" s="1">
        <v>1</v>
      </c>
      <c r="AN5" t="s">
        <v>459</v>
      </c>
      <c r="AO5" t="s">
        <v>458</v>
      </c>
      <c r="AP5" s="1">
        <v>1</v>
      </c>
      <c r="AQ5" t="s">
        <v>459</v>
      </c>
      <c r="AR5" t="s">
        <v>458</v>
      </c>
      <c r="AS5" s="1">
        <v>1</v>
      </c>
      <c r="AT5" t="s">
        <v>459</v>
      </c>
      <c r="AU5" t="s">
        <v>458</v>
      </c>
      <c r="AV5" s="1">
        <v>1</v>
      </c>
      <c r="AW5" t="s">
        <v>459</v>
      </c>
      <c r="AX5" t="s">
        <v>458</v>
      </c>
      <c r="AY5" s="1">
        <v>1</v>
      </c>
      <c r="AZ5" t="s">
        <v>459</v>
      </c>
      <c r="BA5" t="s">
        <v>458</v>
      </c>
      <c r="BB5" s="1">
        <v>1</v>
      </c>
      <c r="BC5" t="s">
        <v>459</v>
      </c>
      <c r="BD5" t="s">
        <v>458</v>
      </c>
      <c r="BE5" s="1">
        <v>1</v>
      </c>
      <c r="BF5" t="s">
        <v>459</v>
      </c>
      <c r="BG5" t="s">
        <v>458</v>
      </c>
      <c r="BH5" s="1">
        <v>1</v>
      </c>
      <c r="BI5" t="s">
        <v>459</v>
      </c>
      <c r="BJ5" t="s">
        <v>458</v>
      </c>
      <c r="BK5" s="1">
        <v>1</v>
      </c>
      <c r="BL5" t="s">
        <v>459</v>
      </c>
      <c r="BM5" t="s">
        <v>458</v>
      </c>
      <c r="BN5" s="1">
        <v>1</v>
      </c>
      <c r="BO5" t="s">
        <v>459</v>
      </c>
      <c r="BP5" t="s">
        <v>458</v>
      </c>
      <c r="BQ5" s="1">
        <v>1</v>
      </c>
      <c r="BR5" t="s">
        <v>459</v>
      </c>
      <c r="BS5" t="s">
        <v>458</v>
      </c>
      <c r="BT5" s="1">
        <v>1</v>
      </c>
      <c r="BU5" t="s">
        <v>459</v>
      </c>
      <c r="BV5" t="s">
        <v>458</v>
      </c>
      <c r="BW5" s="1">
        <v>1</v>
      </c>
      <c r="BX5" t="s">
        <v>459</v>
      </c>
      <c r="BY5" t="s">
        <v>458</v>
      </c>
      <c r="BZ5" s="1">
        <v>1</v>
      </c>
      <c r="CA5" t="s">
        <v>459</v>
      </c>
      <c r="CB5" t="s">
        <v>458</v>
      </c>
      <c r="CC5" s="1">
        <v>1</v>
      </c>
      <c r="CD5" t="s">
        <v>459</v>
      </c>
      <c r="CE5" t="s">
        <v>458</v>
      </c>
      <c r="CF5" s="1">
        <v>1</v>
      </c>
      <c r="CG5" t="s">
        <v>459</v>
      </c>
      <c r="CH5" t="s">
        <v>458</v>
      </c>
      <c r="CI5" s="1">
        <v>1</v>
      </c>
      <c r="CJ5" t="s">
        <v>459</v>
      </c>
      <c r="CK5" t="s">
        <v>458</v>
      </c>
      <c r="CL5" s="1">
        <v>1</v>
      </c>
      <c r="CM5" t="s">
        <v>459</v>
      </c>
      <c r="CN5" t="s">
        <v>395</v>
      </c>
      <c r="CO5" s="1">
        <f>B29</f>
        <v>10</v>
      </c>
      <c r="CQ5" t="s">
        <v>395</v>
      </c>
      <c r="CR5">
        <f>CO5</f>
        <v>10</v>
      </c>
      <c r="CT5" t="s">
        <v>458</v>
      </c>
      <c r="CU5" s="1">
        <v>1</v>
      </c>
      <c r="CV5" t="s">
        <v>459</v>
      </c>
      <c r="CW5" t="s">
        <v>458</v>
      </c>
      <c r="CX5" s="1">
        <v>1</v>
      </c>
      <c r="CY5" t="s">
        <v>459</v>
      </c>
      <c r="CZ5" t="s">
        <v>458</v>
      </c>
      <c r="DA5" s="1">
        <v>1</v>
      </c>
      <c r="DB5" t="s">
        <v>459</v>
      </c>
      <c r="DC5" t="s">
        <v>458</v>
      </c>
      <c r="DD5" s="1">
        <v>1</v>
      </c>
      <c r="DE5" t="s">
        <v>459</v>
      </c>
      <c r="DF5" t="s">
        <v>44</v>
      </c>
      <c r="DG5">
        <f>(DG8*DG9*DG10*((1-EXP(-DG11*DG12))))/(DG13*DG11)</f>
        <v>0.78778672032533081</v>
      </c>
      <c r="DH5" t="s">
        <v>45</v>
      </c>
      <c r="DI5" t="s">
        <v>46</v>
      </c>
      <c r="DJ5">
        <f>DJ7</f>
        <v>0.03</v>
      </c>
      <c r="DL5" t="s">
        <v>46</v>
      </c>
      <c r="DM5">
        <f>DM7</f>
        <v>0.03</v>
      </c>
      <c r="DO5" t="s">
        <v>44</v>
      </c>
      <c r="DP5">
        <f>(DP8*DP9*DP10*((1-EXP(-DP11*DP12))))/(DP13*DP11)</f>
        <v>1.072392322870531</v>
      </c>
      <c r="DQ5" t="s">
        <v>45</v>
      </c>
      <c r="DR5" t="s">
        <v>458</v>
      </c>
      <c r="DS5" s="1">
        <v>1</v>
      </c>
      <c r="DT5" t="s">
        <v>459</v>
      </c>
      <c r="DU5" t="s">
        <v>317</v>
      </c>
      <c r="DV5" s="1">
        <f>B23</f>
        <v>8.0000000000000002E-3</v>
      </c>
      <c r="DX5" t="s">
        <v>47</v>
      </c>
      <c r="DY5">
        <f>DY7</f>
        <v>10</v>
      </c>
      <c r="EA5" t="s">
        <v>47</v>
      </c>
      <c r="EB5">
        <f>EB7</f>
        <v>10</v>
      </c>
      <c r="ED5" t="s">
        <v>47</v>
      </c>
      <c r="EE5">
        <f>EE7</f>
        <v>10</v>
      </c>
      <c r="EG5" t="s">
        <v>458</v>
      </c>
      <c r="EH5" s="1">
        <v>1</v>
      </c>
      <c r="EI5" t="s">
        <v>459</v>
      </c>
      <c r="EJ5" t="s">
        <v>318</v>
      </c>
      <c r="EK5" s="1">
        <f>B24</f>
        <v>0.03</v>
      </c>
      <c r="EM5" t="s">
        <v>47</v>
      </c>
      <c r="EN5">
        <f>EN7</f>
        <v>10</v>
      </c>
      <c r="EP5" t="s">
        <v>47</v>
      </c>
      <c r="EQ5">
        <f>EQ7</f>
        <v>10</v>
      </c>
      <c r="ES5" t="s">
        <v>47</v>
      </c>
      <c r="ET5">
        <f>ET7</f>
        <v>10</v>
      </c>
      <c r="EV5" t="s">
        <v>458</v>
      </c>
      <c r="EW5" s="1">
        <v>1</v>
      </c>
      <c r="EX5" t="s">
        <v>459</v>
      </c>
      <c r="EY5" t="s">
        <v>319</v>
      </c>
      <c r="EZ5" s="406">
        <f>B26</f>
        <v>0.4</v>
      </c>
      <c r="FB5" t="s">
        <v>47</v>
      </c>
      <c r="FC5">
        <f>FC7</f>
        <v>5.0000000000000001E-3</v>
      </c>
      <c r="FE5" t="s">
        <v>47</v>
      </c>
      <c r="FF5">
        <f>FF7</f>
        <v>5.0000000000000001E-3</v>
      </c>
      <c r="FH5" t="s">
        <v>47</v>
      </c>
      <c r="FI5">
        <f>FI7</f>
        <v>5.0000000000000001E-3</v>
      </c>
      <c r="FK5" t="s">
        <v>458</v>
      </c>
      <c r="FL5" s="1">
        <v>1</v>
      </c>
      <c r="FM5" t="s">
        <v>459</v>
      </c>
      <c r="FN5" t="s">
        <v>320</v>
      </c>
      <c r="FO5" s="17">
        <v>1</v>
      </c>
      <c r="FQ5" t="s">
        <v>186</v>
      </c>
      <c r="FR5" s="1">
        <f>B22</f>
        <v>2000</v>
      </c>
      <c r="FT5" t="s">
        <v>47</v>
      </c>
      <c r="FU5">
        <f>FU7</f>
        <v>0.2</v>
      </c>
      <c r="FW5" t="s">
        <v>47</v>
      </c>
      <c r="FX5">
        <f>FX7</f>
        <v>0.2</v>
      </c>
      <c r="FZ5" t="s">
        <v>458</v>
      </c>
      <c r="GA5" s="1">
        <v>1</v>
      </c>
      <c r="GB5" t="s">
        <v>459</v>
      </c>
      <c r="GC5" t="s">
        <v>321</v>
      </c>
      <c r="GD5" s="406">
        <f>B25</f>
        <v>10</v>
      </c>
      <c r="GF5" t="s">
        <v>47</v>
      </c>
      <c r="GG5">
        <f>GG7</f>
        <v>5.0000000000000001E-3</v>
      </c>
      <c r="GI5" t="s">
        <v>47</v>
      </c>
      <c r="GJ5">
        <f>GJ7</f>
        <v>5.0000000000000001E-3</v>
      </c>
      <c r="GL5" t="s">
        <v>47</v>
      </c>
      <c r="GM5">
        <f>GM7</f>
        <v>5.0000000000000001E-3</v>
      </c>
      <c r="GO5" t="s">
        <v>458</v>
      </c>
      <c r="GP5" s="1">
        <v>1</v>
      </c>
      <c r="GQ5" t="s">
        <v>459</v>
      </c>
      <c r="GR5" t="s">
        <v>322</v>
      </c>
      <c r="GS5" s="406">
        <f>B27</f>
        <v>0.24</v>
      </c>
      <c r="GU5" t="s">
        <v>47</v>
      </c>
      <c r="GV5">
        <f>GV7</f>
        <v>5.0000000000000001E-3</v>
      </c>
      <c r="GX5" t="s">
        <v>47</v>
      </c>
      <c r="GY5">
        <f>GY7</f>
        <v>5.0000000000000001E-3</v>
      </c>
      <c r="HA5" t="s">
        <v>47</v>
      </c>
      <c r="HB5">
        <f>HB7</f>
        <v>5.0000000000000001E-3</v>
      </c>
      <c r="HD5" s="2" t="s">
        <v>48</v>
      </c>
      <c r="HE5">
        <v>15</v>
      </c>
      <c r="HF5" t="s">
        <v>24</v>
      </c>
    </row>
    <row r="6" spans="1:214" x14ac:dyDescent="0.2">
      <c r="A6" t="s">
        <v>437</v>
      </c>
      <c r="B6" s="410">
        <v>4.8099999999999997E-2</v>
      </c>
      <c r="C6" t="s">
        <v>448</v>
      </c>
      <c r="D6" t="s">
        <v>49</v>
      </c>
      <c r="E6" s="1">
        <f>0.693/E7</f>
        <v>6.3E-5</v>
      </c>
      <c r="G6" t="s">
        <v>437</v>
      </c>
      <c r="H6" s="1">
        <f>B6</f>
        <v>4.8099999999999997E-2</v>
      </c>
      <c r="I6" t="s">
        <v>61</v>
      </c>
      <c r="J6" t="s">
        <v>438</v>
      </c>
      <c r="K6" s="1">
        <f>B7</f>
        <v>4.8099999999999997E-2</v>
      </c>
      <c r="L6" t="s">
        <v>61</v>
      </c>
      <c r="M6" t="s">
        <v>58</v>
      </c>
      <c r="N6">
        <v>26</v>
      </c>
      <c r="O6" t="s">
        <v>59</v>
      </c>
      <c r="P6" t="s">
        <v>58</v>
      </c>
      <c r="Q6">
        <v>26</v>
      </c>
      <c r="R6" t="s">
        <v>59</v>
      </c>
      <c r="S6" t="s">
        <v>58</v>
      </c>
      <c r="T6">
        <v>26</v>
      </c>
      <c r="U6" t="s">
        <v>59</v>
      </c>
      <c r="V6" t="s">
        <v>49</v>
      </c>
      <c r="W6" s="1">
        <f>0.693/W7</f>
        <v>2.3099999999999999E-2</v>
      </c>
      <c r="Y6" t="s">
        <v>49</v>
      </c>
      <c r="Z6" s="1">
        <f>0.693/Z7</f>
        <v>2.3099999999999999E-2</v>
      </c>
      <c r="AC6">
        <v>1000</v>
      </c>
      <c r="AD6">
        <v>1000</v>
      </c>
      <c r="AE6">
        <v>1000</v>
      </c>
      <c r="AF6">
        <v>1000</v>
      </c>
      <c r="AG6">
        <v>1000</v>
      </c>
      <c r="AH6" t="s">
        <v>50</v>
      </c>
      <c r="AI6" t="s">
        <v>58</v>
      </c>
      <c r="AJ6">
        <v>25</v>
      </c>
      <c r="AK6" t="s">
        <v>59</v>
      </c>
      <c r="AL6" t="s">
        <v>58</v>
      </c>
      <c r="AM6">
        <v>25</v>
      </c>
      <c r="AN6" t="s">
        <v>59</v>
      </c>
      <c r="AO6" t="s">
        <v>58</v>
      </c>
      <c r="AP6">
        <v>25</v>
      </c>
      <c r="AQ6" t="s">
        <v>59</v>
      </c>
      <c r="AR6" t="s">
        <v>58</v>
      </c>
      <c r="AS6">
        <v>25</v>
      </c>
      <c r="AT6" t="s">
        <v>59</v>
      </c>
      <c r="AU6" t="s">
        <v>58</v>
      </c>
      <c r="AV6">
        <v>25</v>
      </c>
      <c r="AW6" t="s">
        <v>59</v>
      </c>
      <c r="AX6" t="s">
        <v>58</v>
      </c>
      <c r="AY6">
        <v>25</v>
      </c>
      <c r="AZ6" t="s">
        <v>59</v>
      </c>
      <c r="BA6" t="s">
        <v>58</v>
      </c>
      <c r="BB6">
        <v>25</v>
      </c>
      <c r="BC6" t="s">
        <v>59</v>
      </c>
      <c r="BD6" t="s">
        <v>58</v>
      </c>
      <c r="BE6">
        <v>25</v>
      </c>
      <c r="BF6" t="s">
        <v>59</v>
      </c>
      <c r="BG6" t="s">
        <v>58</v>
      </c>
      <c r="BH6">
        <v>25</v>
      </c>
      <c r="BI6" t="s">
        <v>59</v>
      </c>
      <c r="BJ6" t="s">
        <v>58</v>
      </c>
      <c r="BK6">
        <v>1</v>
      </c>
      <c r="BL6" t="s">
        <v>59</v>
      </c>
      <c r="BM6" t="s">
        <v>58</v>
      </c>
      <c r="BN6">
        <v>1</v>
      </c>
      <c r="BO6" t="s">
        <v>59</v>
      </c>
      <c r="BP6" t="s">
        <v>58</v>
      </c>
      <c r="BQ6">
        <v>1</v>
      </c>
      <c r="BR6" t="s">
        <v>59</v>
      </c>
      <c r="BS6" t="s">
        <v>49</v>
      </c>
      <c r="BT6" s="1">
        <f>0.693/BT7</f>
        <v>2.3099999999999999E-2</v>
      </c>
      <c r="BV6" t="s">
        <v>437</v>
      </c>
      <c r="BW6" s="1">
        <f>H6</f>
        <v>4.8099999999999997E-2</v>
      </c>
      <c r="BX6" t="s">
        <v>448</v>
      </c>
      <c r="BY6" t="s">
        <v>438</v>
      </c>
      <c r="BZ6" s="1">
        <f>B7</f>
        <v>4.8099999999999997E-2</v>
      </c>
      <c r="CA6" t="s">
        <v>448</v>
      </c>
      <c r="CB6" t="s">
        <v>58</v>
      </c>
      <c r="CC6">
        <v>26</v>
      </c>
      <c r="CD6" t="s">
        <v>59</v>
      </c>
      <c r="CE6" t="s">
        <v>58</v>
      </c>
      <c r="CF6">
        <v>26</v>
      </c>
      <c r="CG6" t="s">
        <v>59</v>
      </c>
      <c r="CH6" t="s">
        <v>58</v>
      </c>
      <c r="CI6">
        <v>26</v>
      </c>
      <c r="CJ6" t="s">
        <v>59</v>
      </c>
      <c r="CK6" t="s">
        <v>447</v>
      </c>
      <c r="CL6" s="1">
        <f>E35</f>
        <v>4.8099999999999997E-2</v>
      </c>
      <c r="CM6" t="s">
        <v>22</v>
      </c>
      <c r="CN6" t="s">
        <v>47</v>
      </c>
      <c r="CO6">
        <f>CO8</f>
        <v>0.2</v>
      </c>
      <c r="CQ6" t="s">
        <v>315</v>
      </c>
      <c r="CR6" s="17">
        <v>1</v>
      </c>
      <c r="CS6" t="s">
        <v>56</v>
      </c>
      <c r="CT6" t="s">
        <v>438</v>
      </c>
      <c r="CU6" s="1">
        <f>B7</f>
        <v>4.8099999999999997E-2</v>
      </c>
      <c r="CV6" t="s">
        <v>448</v>
      </c>
      <c r="CW6" t="s">
        <v>49</v>
      </c>
      <c r="CX6" s="1">
        <f>0.693/CX7</f>
        <v>2.3099999999999999E-2</v>
      </c>
      <c r="CZ6" t="s">
        <v>437</v>
      </c>
      <c r="DA6" s="1">
        <f>B6</f>
        <v>4.8099999999999997E-2</v>
      </c>
      <c r="DB6" t="s">
        <v>448</v>
      </c>
      <c r="DC6" t="s">
        <v>447</v>
      </c>
      <c r="DD6" s="1">
        <f>B16</f>
        <v>4.8099999999999997E-2</v>
      </c>
      <c r="DE6" t="s">
        <v>448</v>
      </c>
      <c r="DF6" t="s">
        <v>53</v>
      </c>
      <c r="DG6">
        <f>(DG8*DG9*DG14*((1-EXP(-DG11*DG12))))/(DG13*DG11)</f>
        <v>6.8274849094862002</v>
      </c>
      <c r="DH6" t="s">
        <v>45</v>
      </c>
      <c r="DI6" t="s">
        <v>54</v>
      </c>
      <c r="DJ6">
        <f>DJ8</f>
        <v>0.26</v>
      </c>
      <c r="DL6" t="s">
        <v>54</v>
      </c>
      <c r="DM6">
        <f>DM8</f>
        <v>0.26</v>
      </c>
      <c r="DO6" t="s">
        <v>53</v>
      </c>
      <c r="DP6">
        <f>(DP8*DP9*DP14*((1-EXP(-DP11*DP12))))/(DP13*DP11)</f>
        <v>9.2940667982112686</v>
      </c>
      <c r="DQ6" t="s">
        <v>45</v>
      </c>
      <c r="DR6" t="s">
        <v>447</v>
      </c>
      <c r="DS6" s="1">
        <f>B16</f>
        <v>4.8099999999999997E-2</v>
      </c>
      <c r="DT6" t="s">
        <v>448</v>
      </c>
      <c r="DU6" t="s">
        <v>55</v>
      </c>
      <c r="DV6">
        <v>92</v>
      </c>
      <c r="DW6" t="s">
        <v>56</v>
      </c>
      <c r="DX6" t="s">
        <v>54</v>
      </c>
      <c r="DY6">
        <f>DY8</f>
        <v>0.25</v>
      </c>
      <c r="EA6" t="s">
        <v>54</v>
      </c>
      <c r="EB6">
        <f>EB8</f>
        <v>0.25</v>
      </c>
      <c r="ED6" t="s">
        <v>54</v>
      </c>
      <c r="EE6">
        <f>EE8</f>
        <v>0.25</v>
      </c>
      <c r="EG6" t="s">
        <v>447</v>
      </c>
      <c r="EH6" s="1">
        <f>B16</f>
        <v>4.8099999999999997E-2</v>
      </c>
      <c r="EI6" t="s">
        <v>448</v>
      </c>
      <c r="EJ6" t="s">
        <v>57</v>
      </c>
      <c r="EK6">
        <v>53</v>
      </c>
      <c r="EL6" t="s">
        <v>56</v>
      </c>
      <c r="EM6" t="s">
        <v>54</v>
      </c>
      <c r="EN6">
        <f>EN8</f>
        <v>0.25</v>
      </c>
      <c r="EP6" t="s">
        <v>54</v>
      </c>
      <c r="EQ6">
        <f>EQ8</f>
        <v>0.25</v>
      </c>
      <c r="ES6" t="s">
        <v>54</v>
      </c>
      <c r="ET6">
        <f>ET8</f>
        <v>0.25</v>
      </c>
      <c r="EV6" t="s">
        <v>447</v>
      </c>
      <c r="EW6" s="1">
        <f>B16</f>
        <v>4.8099999999999997E-2</v>
      </c>
      <c r="EX6" t="s">
        <v>448</v>
      </c>
      <c r="EY6" t="s">
        <v>271</v>
      </c>
      <c r="EZ6">
        <v>0.4</v>
      </c>
      <c r="FA6" t="s">
        <v>56</v>
      </c>
      <c r="FB6" t="s">
        <v>54</v>
      </c>
      <c r="FC6">
        <f>FC8</f>
        <v>0.25</v>
      </c>
      <c r="FE6" t="s">
        <v>54</v>
      </c>
      <c r="FF6">
        <f>FF8</f>
        <v>0.25</v>
      </c>
      <c r="FH6" t="s">
        <v>54</v>
      </c>
      <c r="FI6">
        <f>FI8</f>
        <v>0.25</v>
      </c>
      <c r="FK6" t="s">
        <v>447</v>
      </c>
      <c r="FL6" s="1">
        <f>B16</f>
        <v>4.8099999999999997E-2</v>
      </c>
      <c r="FM6" t="s">
        <v>448</v>
      </c>
      <c r="FN6" t="s">
        <v>274</v>
      </c>
      <c r="FO6" s="17">
        <v>1</v>
      </c>
      <c r="FP6" t="s">
        <v>56</v>
      </c>
      <c r="FQ6" t="s">
        <v>296</v>
      </c>
      <c r="FR6" s="1">
        <v>8.1999999999999993</v>
      </c>
      <c r="FT6" t="s">
        <v>54</v>
      </c>
      <c r="FU6">
        <f>FU8</f>
        <v>0.25</v>
      </c>
      <c r="FW6" t="s">
        <v>54</v>
      </c>
      <c r="FX6">
        <f>FX8</f>
        <v>0.25</v>
      </c>
      <c r="FZ6" t="s">
        <v>447</v>
      </c>
      <c r="GA6" s="1">
        <f>B16</f>
        <v>4.8099999999999997E-2</v>
      </c>
      <c r="GB6" t="s">
        <v>448</v>
      </c>
      <c r="GC6" t="s">
        <v>272</v>
      </c>
      <c r="GD6">
        <v>0.4</v>
      </c>
      <c r="GE6" t="s">
        <v>56</v>
      </c>
      <c r="GF6" t="s">
        <v>54</v>
      </c>
      <c r="GG6">
        <f>GG8</f>
        <v>0.25</v>
      </c>
      <c r="GI6" t="s">
        <v>54</v>
      </c>
      <c r="GJ6">
        <f>GJ8</f>
        <v>0.25</v>
      </c>
      <c r="GL6" t="s">
        <v>54</v>
      </c>
      <c r="GM6">
        <f>GM8</f>
        <v>0.25</v>
      </c>
      <c r="GO6" t="s">
        <v>447</v>
      </c>
      <c r="GP6" s="1">
        <f>B16</f>
        <v>4.8099999999999997E-2</v>
      </c>
      <c r="GQ6" t="s">
        <v>448</v>
      </c>
      <c r="GR6" t="s">
        <v>273</v>
      </c>
      <c r="GS6">
        <v>11.4</v>
      </c>
      <c r="GT6" t="s">
        <v>56</v>
      </c>
      <c r="GU6" t="s">
        <v>54</v>
      </c>
      <c r="GV6">
        <f>GV8</f>
        <v>0.25</v>
      </c>
      <c r="GX6" t="s">
        <v>54</v>
      </c>
      <c r="GY6">
        <f>GY8</f>
        <v>0.25</v>
      </c>
      <c r="HA6" t="s">
        <v>54</v>
      </c>
      <c r="HB6">
        <f>HB8</f>
        <v>0.25</v>
      </c>
      <c r="HD6" t="s">
        <v>456</v>
      </c>
      <c r="HE6" s="1">
        <f>H3</f>
        <v>2.5760346726538066E-2</v>
      </c>
      <c r="HF6" t="s">
        <v>24</v>
      </c>
    </row>
    <row r="7" spans="1:214" x14ac:dyDescent="0.2">
      <c r="A7" t="s">
        <v>438</v>
      </c>
      <c r="B7" s="410">
        <v>4.8099999999999997E-2</v>
      </c>
      <c r="C7" t="s">
        <v>448</v>
      </c>
      <c r="D7" t="s">
        <v>411</v>
      </c>
      <c r="E7" s="1">
        <v>11000</v>
      </c>
      <c r="F7" t="s">
        <v>119</v>
      </c>
      <c r="G7" t="s">
        <v>436</v>
      </c>
      <c r="H7" s="1">
        <f>B5</f>
        <v>1.7E-5</v>
      </c>
      <c r="I7" t="s">
        <v>61</v>
      </c>
      <c r="J7" t="s">
        <v>436</v>
      </c>
      <c r="K7" s="1">
        <f>B5</f>
        <v>1.7E-5</v>
      </c>
      <c r="L7" t="s">
        <v>61</v>
      </c>
      <c r="M7" t="s">
        <v>49</v>
      </c>
      <c r="N7" s="1">
        <f>0.693/N8</f>
        <v>2.3099999999999999E-2</v>
      </c>
      <c r="P7" t="s">
        <v>49</v>
      </c>
      <c r="Q7" s="1">
        <f>0.693/Q8</f>
        <v>2.3099999999999999E-2</v>
      </c>
      <c r="S7" t="s">
        <v>49</v>
      </c>
      <c r="T7" s="1">
        <f>0.693/T8</f>
        <v>2.3099999999999999E-2</v>
      </c>
      <c r="V7" t="s">
        <v>411</v>
      </c>
      <c r="W7" s="1">
        <f>B17</f>
        <v>30</v>
      </c>
      <c r="X7" t="s">
        <v>119</v>
      </c>
      <c r="Y7" t="s">
        <v>411</v>
      </c>
      <c r="Z7" s="1">
        <f>B17</f>
        <v>30</v>
      </c>
      <c r="AA7" t="s">
        <v>119</v>
      </c>
      <c r="AI7" t="s">
        <v>49</v>
      </c>
      <c r="AJ7" s="1">
        <f>0.693/AJ8</f>
        <v>2.3099999999999999E-2</v>
      </c>
      <c r="AL7" t="s">
        <v>49</v>
      </c>
      <c r="AM7" s="1">
        <f>0.693/AM8</f>
        <v>2.3099999999999999E-2</v>
      </c>
      <c r="AO7" t="s">
        <v>49</v>
      </c>
      <c r="AP7" s="1">
        <f>0.693/AP8</f>
        <v>2.3099999999999999E-2</v>
      </c>
      <c r="AR7" t="s">
        <v>49</v>
      </c>
      <c r="AS7" s="1">
        <f>0.693/AS8</f>
        <v>2.3099999999999999E-2</v>
      </c>
      <c r="AU7" t="s">
        <v>49</v>
      </c>
      <c r="AV7" s="1">
        <f>0.693/AV8</f>
        <v>2.3099999999999999E-2</v>
      </c>
      <c r="AX7" t="s">
        <v>49</v>
      </c>
      <c r="AY7" s="1">
        <f>0.693/AY8</f>
        <v>2.3099999999999999E-2</v>
      </c>
      <c r="BA7" t="s">
        <v>49</v>
      </c>
      <c r="BB7" s="1">
        <f>0.693/BB8</f>
        <v>2.3099999999999999E-2</v>
      </c>
      <c r="BD7" t="s">
        <v>49</v>
      </c>
      <c r="BE7" s="1">
        <f>0.693/BE8</f>
        <v>2.3099999999999999E-2</v>
      </c>
      <c r="BG7" t="s">
        <v>49</v>
      </c>
      <c r="BH7" s="1">
        <f>0.693/BH8</f>
        <v>2.3099999999999999E-2</v>
      </c>
      <c r="BJ7" t="s">
        <v>49</v>
      </c>
      <c r="BK7" s="1">
        <f>0.693/BK8</f>
        <v>2.3099999999999999E-2</v>
      </c>
      <c r="BM7" t="s">
        <v>49</v>
      </c>
      <c r="BN7" s="1">
        <f>0.693/BN8</f>
        <v>2.3099999999999999E-2</v>
      </c>
      <c r="BP7" t="s">
        <v>49</v>
      </c>
      <c r="BQ7" s="1">
        <f>0.693/BQ8</f>
        <v>2.3099999999999999E-2</v>
      </c>
      <c r="BS7" t="s">
        <v>411</v>
      </c>
      <c r="BT7" s="1">
        <f>B17</f>
        <v>30</v>
      </c>
      <c r="BU7" t="s">
        <v>119</v>
      </c>
      <c r="BV7" t="s">
        <v>436</v>
      </c>
      <c r="BW7" s="1">
        <f>E10</f>
        <v>1.7E-5</v>
      </c>
      <c r="BX7" t="s">
        <v>448</v>
      </c>
      <c r="BY7" t="s">
        <v>436</v>
      </c>
      <c r="BZ7" s="1">
        <f>B5</f>
        <v>1.7E-5</v>
      </c>
      <c r="CA7" t="s">
        <v>448</v>
      </c>
      <c r="CB7" t="s">
        <v>49</v>
      </c>
      <c r="CC7" s="1">
        <f>0.693/CC8</f>
        <v>2.3099999999999999E-2</v>
      </c>
      <c r="CE7" t="s">
        <v>49</v>
      </c>
      <c r="CF7" s="1">
        <f>0.693/CF8</f>
        <v>2.3099999999999999E-2</v>
      </c>
      <c r="CH7" t="s">
        <v>49</v>
      </c>
      <c r="CI7" s="1">
        <f>0.693/CI8</f>
        <v>2.3099999999999999E-2</v>
      </c>
      <c r="CK7" t="s">
        <v>221</v>
      </c>
      <c r="CL7">
        <v>75</v>
      </c>
      <c r="CM7" t="s">
        <v>245</v>
      </c>
      <c r="CN7" t="s">
        <v>54</v>
      </c>
      <c r="CO7">
        <f>CO9</f>
        <v>0.25</v>
      </c>
      <c r="CR7">
        <v>1000</v>
      </c>
      <c r="CS7" t="s">
        <v>213</v>
      </c>
      <c r="CT7" t="s">
        <v>436</v>
      </c>
      <c r="CU7" s="1">
        <f>B5</f>
        <v>1.7E-5</v>
      </c>
      <c r="CV7" t="s">
        <v>448</v>
      </c>
      <c r="CW7" t="s">
        <v>411</v>
      </c>
      <c r="CX7" s="1">
        <f>B17</f>
        <v>30</v>
      </c>
      <c r="CY7" t="s">
        <v>119</v>
      </c>
      <c r="CZ7" t="s">
        <v>436</v>
      </c>
      <c r="DA7" s="1">
        <f>B5</f>
        <v>1.7E-5</v>
      </c>
      <c r="DB7" t="s">
        <v>448</v>
      </c>
      <c r="DC7" t="s">
        <v>451</v>
      </c>
      <c r="DD7" s="16">
        <f>(DD5)/(DD6*(DD8+DD11)*DD21)</f>
        <v>7.8390048696878141E-4</v>
      </c>
      <c r="DE7" t="s">
        <v>22</v>
      </c>
      <c r="DF7" t="s">
        <v>62</v>
      </c>
      <c r="DG7">
        <f>(DG8*DG9*DG15*DG21*((1-EXP(-DG16*DG17))))/(DG18*DG16)</f>
        <v>3.6385326157733249</v>
      </c>
      <c r="DH7" t="s">
        <v>45</v>
      </c>
      <c r="DI7" t="s">
        <v>63</v>
      </c>
      <c r="DJ7">
        <f>B28</f>
        <v>0.03</v>
      </c>
      <c r="DL7" t="s">
        <v>63</v>
      </c>
      <c r="DM7">
        <f>B28</f>
        <v>0.03</v>
      </c>
      <c r="DO7" t="s">
        <v>62</v>
      </c>
      <c r="DP7">
        <f>(DP8*DP9*DP15*DP21*((1-EXP(-DP16*DP17))))/(DP18*DP16)</f>
        <v>3.6424203206347228</v>
      </c>
      <c r="DQ7" t="s">
        <v>45</v>
      </c>
      <c r="DR7" t="s">
        <v>451</v>
      </c>
      <c r="DS7" s="16">
        <f>DS5/(DS6*DS8*DS17)</f>
        <v>1.0585415557348196E-4</v>
      </c>
      <c r="DT7" t="s">
        <v>22</v>
      </c>
      <c r="DX7" t="s">
        <v>64</v>
      </c>
      <c r="DY7">
        <f>B29</f>
        <v>10</v>
      </c>
      <c r="EA7" t="s">
        <v>64</v>
      </c>
      <c r="EB7">
        <f>B29</f>
        <v>10</v>
      </c>
      <c r="ED7" t="s">
        <v>64</v>
      </c>
      <c r="EE7">
        <f>B29</f>
        <v>10</v>
      </c>
      <c r="EG7" t="s">
        <v>451</v>
      </c>
      <c r="EH7" s="16">
        <f>EH5/(EH6*EH8*EH17)</f>
        <v>4.9985064394286293E-4</v>
      </c>
      <c r="EI7" t="s">
        <v>22</v>
      </c>
      <c r="EM7" t="s">
        <v>64</v>
      </c>
      <c r="EN7">
        <f>B29</f>
        <v>10</v>
      </c>
      <c r="EP7" t="s">
        <v>64</v>
      </c>
      <c r="EQ7">
        <f>B29</f>
        <v>10</v>
      </c>
      <c r="ES7" t="s">
        <v>64</v>
      </c>
      <c r="ET7">
        <f>B29</f>
        <v>10</v>
      </c>
      <c r="EV7" t="s">
        <v>451</v>
      </c>
      <c r="EW7" s="16">
        <f>EW5/(EW6*EW8*EW17)</f>
        <v>1.6664889839371009E-3</v>
      </c>
      <c r="EX7" t="s">
        <v>22</v>
      </c>
      <c r="EZ7">
        <v>1000</v>
      </c>
      <c r="FA7" t="s">
        <v>213</v>
      </c>
      <c r="FB7" t="s">
        <v>64</v>
      </c>
      <c r="FC7">
        <v>5.0000000000000001E-3</v>
      </c>
      <c r="FE7" t="s">
        <v>64</v>
      </c>
      <c r="FF7">
        <v>5.0000000000000001E-3</v>
      </c>
      <c r="FH7" t="s">
        <v>64</v>
      </c>
      <c r="FI7">
        <v>5.0000000000000001E-3</v>
      </c>
      <c r="FK7" t="s">
        <v>451</v>
      </c>
      <c r="FL7" s="16">
        <f>FL5/(FL6*FL8*FL17)</f>
        <v>5.4352022263779603E-4</v>
      </c>
      <c r="FM7" t="s">
        <v>22</v>
      </c>
      <c r="FO7">
        <v>1000</v>
      </c>
      <c r="FP7" t="s">
        <v>213</v>
      </c>
      <c r="FT7" t="s">
        <v>64</v>
      </c>
      <c r="FU7">
        <v>0.2</v>
      </c>
      <c r="FW7" t="s">
        <v>64</v>
      </c>
      <c r="FX7">
        <v>0.2</v>
      </c>
      <c r="FZ7" t="s">
        <v>451</v>
      </c>
      <c r="GA7" s="16">
        <f>GA5/(GA6*GA8*GA17)</f>
        <v>6.9535027841634647E-4</v>
      </c>
      <c r="GB7" t="s">
        <v>22</v>
      </c>
      <c r="GD7">
        <v>1000</v>
      </c>
      <c r="GE7" t="s">
        <v>213</v>
      </c>
      <c r="GF7" t="s">
        <v>64</v>
      </c>
      <c r="GG7">
        <v>5.0000000000000001E-3</v>
      </c>
      <c r="GI7" t="s">
        <v>64</v>
      </c>
      <c r="GJ7">
        <v>5.0000000000000001E-3</v>
      </c>
      <c r="GL7" t="s">
        <v>64</v>
      </c>
      <c r="GM7">
        <v>5.0000000000000001E-3</v>
      </c>
      <c r="GO7" t="s">
        <v>451</v>
      </c>
      <c r="GP7" s="16">
        <f>GP5/(GP6*GP8*GP16)</f>
        <v>8.9517017675564336E-4</v>
      </c>
      <c r="GQ7" t="s">
        <v>22</v>
      </c>
      <c r="GS7">
        <v>1000</v>
      </c>
      <c r="GT7" t="s">
        <v>213</v>
      </c>
      <c r="GU7" t="s">
        <v>64</v>
      </c>
      <c r="GV7">
        <v>5.0000000000000001E-3</v>
      </c>
      <c r="GX7" t="s">
        <v>64</v>
      </c>
      <c r="GY7">
        <v>5.0000000000000001E-3</v>
      </c>
      <c r="HA7" t="s">
        <v>64</v>
      </c>
      <c r="HB7">
        <v>5.0000000000000001E-3</v>
      </c>
      <c r="HD7" t="s">
        <v>49</v>
      </c>
      <c r="HE7" s="1">
        <f>0.693/HE8</f>
        <v>2.3099999999999999E-2</v>
      </c>
    </row>
    <row r="8" spans="1:214" x14ac:dyDescent="0.2">
      <c r="A8" t="s">
        <v>439</v>
      </c>
      <c r="B8" s="410">
        <v>4.8099999999999997E-2</v>
      </c>
      <c r="C8" t="s">
        <v>448</v>
      </c>
      <c r="D8" t="s">
        <v>51</v>
      </c>
      <c r="E8">
        <v>350</v>
      </c>
      <c r="F8" t="s">
        <v>60</v>
      </c>
      <c r="G8" t="s">
        <v>446</v>
      </c>
      <c r="H8" s="1">
        <f>B15</f>
        <v>6.4500000000000001E-6</v>
      </c>
      <c r="I8" t="s">
        <v>61</v>
      </c>
      <c r="J8" t="s">
        <v>460</v>
      </c>
      <c r="K8" s="1">
        <f>B9</f>
        <v>3.19</v>
      </c>
      <c r="L8" t="s">
        <v>147</v>
      </c>
      <c r="M8" t="s">
        <v>411</v>
      </c>
      <c r="N8" s="1">
        <f>B17</f>
        <v>30</v>
      </c>
      <c r="O8" t="s">
        <v>119</v>
      </c>
      <c r="P8" t="s">
        <v>411</v>
      </c>
      <c r="Q8" s="1">
        <f>B17</f>
        <v>30</v>
      </c>
      <c r="R8" t="s">
        <v>119</v>
      </c>
      <c r="S8" t="s">
        <v>411</v>
      </c>
      <c r="T8" s="1">
        <f>B17</f>
        <v>30</v>
      </c>
      <c r="U8" t="s">
        <v>119</v>
      </c>
      <c r="V8" t="s">
        <v>51</v>
      </c>
      <c r="W8">
        <v>225</v>
      </c>
      <c r="X8" t="s">
        <v>60</v>
      </c>
      <c r="Y8" t="s">
        <v>51</v>
      </c>
      <c r="Z8">
        <v>250</v>
      </c>
      <c r="AA8" t="s">
        <v>60</v>
      </c>
      <c r="AB8" t="s">
        <v>66</v>
      </c>
      <c r="AC8">
        <v>250</v>
      </c>
      <c r="AD8">
        <v>250</v>
      </c>
      <c r="AE8">
        <v>225</v>
      </c>
      <c r="AF8">
        <f>AF12*AF13</f>
        <v>250</v>
      </c>
      <c r="AG8">
        <f>AG12*AG13</f>
        <v>250</v>
      </c>
      <c r="AH8" t="s">
        <v>52</v>
      </c>
      <c r="AI8" t="s">
        <v>411</v>
      </c>
      <c r="AJ8" s="1">
        <f>B17</f>
        <v>30</v>
      </c>
      <c r="AK8" t="s">
        <v>119</v>
      </c>
      <c r="AL8" t="s">
        <v>411</v>
      </c>
      <c r="AM8" s="1">
        <f>B17</f>
        <v>30</v>
      </c>
      <c r="AN8" t="s">
        <v>119</v>
      </c>
      <c r="AO8" t="s">
        <v>411</v>
      </c>
      <c r="AP8" s="1">
        <f>B17</f>
        <v>30</v>
      </c>
      <c r="AQ8" t="s">
        <v>119</v>
      </c>
      <c r="AR8" t="s">
        <v>411</v>
      </c>
      <c r="AS8" s="1">
        <f>B17</f>
        <v>30</v>
      </c>
      <c r="AT8" t="s">
        <v>119</v>
      </c>
      <c r="AU8" t="s">
        <v>411</v>
      </c>
      <c r="AV8" s="1">
        <f>B17</f>
        <v>30</v>
      </c>
      <c r="AW8" t="s">
        <v>119</v>
      </c>
      <c r="AX8" t="s">
        <v>411</v>
      </c>
      <c r="AY8" s="1">
        <f>B17</f>
        <v>30</v>
      </c>
      <c r="AZ8" t="s">
        <v>119</v>
      </c>
      <c r="BA8" t="s">
        <v>411</v>
      </c>
      <c r="BB8" s="1">
        <f>B17</f>
        <v>30</v>
      </c>
      <c r="BC8" t="s">
        <v>119</v>
      </c>
      <c r="BD8" t="s">
        <v>411</v>
      </c>
      <c r="BE8" s="1">
        <f>B17</f>
        <v>30</v>
      </c>
      <c r="BF8" t="s">
        <v>119</v>
      </c>
      <c r="BG8" t="s">
        <v>411</v>
      </c>
      <c r="BH8" s="1">
        <f>B17</f>
        <v>30</v>
      </c>
      <c r="BI8" t="s">
        <v>119</v>
      </c>
      <c r="BJ8" t="s">
        <v>411</v>
      </c>
      <c r="BK8" s="1">
        <f>B17</f>
        <v>30</v>
      </c>
      <c r="BL8" t="s">
        <v>119</v>
      </c>
      <c r="BM8" t="s">
        <v>411</v>
      </c>
      <c r="BN8" s="1">
        <f>B17</f>
        <v>30</v>
      </c>
      <c r="BO8" t="s">
        <v>119</v>
      </c>
      <c r="BP8" t="s">
        <v>411</v>
      </c>
      <c r="BQ8" s="1">
        <f>B17</f>
        <v>30</v>
      </c>
      <c r="BR8" t="s">
        <v>119</v>
      </c>
      <c r="BS8" t="s">
        <v>51</v>
      </c>
      <c r="BT8">
        <v>75</v>
      </c>
      <c r="BU8" t="s">
        <v>60</v>
      </c>
      <c r="BV8" t="s">
        <v>446</v>
      </c>
      <c r="BW8" s="1">
        <f>H8</f>
        <v>6.4500000000000001E-6</v>
      </c>
      <c r="BX8" t="s">
        <v>448</v>
      </c>
      <c r="BY8" t="s">
        <v>460</v>
      </c>
      <c r="BZ8" s="1">
        <f>B9</f>
        <v>3.19</v>
      </c>
      <c r="CA8" t="s">
        <v>449</v>
      </c>
      <c r="CB8" t="s">
        <v>411</v>
      </c>
      <c r="CC8" s="1">
        <f>B17</f>
        <v>30</v>
      </c>
      <c r="CD8" t="s">
        <v>119</v>
      </c>
      <c r="CE8" t="s">
        <v>411</v>
      </c>
      <c r="CF8" s="1">
        <f>B17</f>
        <v>30</v>
      </c>
      <c r="CG8" t="s">
        <v>119</v>
      </c>
      <c r="CH8" t="s">
        <v>411</v>
      </c>
      <c r="CI8" s="1">
        <f>B17</f>
        <v>30</v>
      </c>
      <c r="CJ8" t="s">
        <v>119</v>
      </c>
      <c r="CK8" t="s">
        <v>99</v>
      </c>
      <c r="CL8">
        <v>1</v>
      </c>
      <c r="CM8" t="s">
        <v>253</v>
      </c>
      <c r="CN8" t="s">
        <v>64</v>
      </c>
      <c r="CO8" s="1">
        <f>B31</f>
        <v>0.2</v>
      </c>
      <c r="CT8" t="s">
        <v>460</v>
      </c>
      <c r="CU8" s="1">
        <f>B9</f>
        <v>3.19</v>
      </c>
      <c r="CV8" t="s">
        <v>449</v>
      </c>
      <c r="CW8" t="s">
        <v>51</v>
      </c>
      <c r="CX8">
        <v>350</v>
      </c>
      <c r="CY8" t="s">
        <v>60</v>
      </c>
      <c r="CZ8" t="s">
        <v>461</v>
      </c>
      <c r="DA8" s="14">
        <f>B15</f>
        <v>6.4500000000000001E-6</v>
      </c>
      <c r="DB8" t="s">
        <v>448</v>
      </c>
      <c r="DC8" t="s">
        <v>469</v>
      </c>
      <c r="DD8" s="427">
        <f>(DD9*DD15*DD16*DD22)+(DD10*DD14*DD17*DD23)</f>
        <v>9024.75</v>
      </c>
      <c r="DE8" t="s">
        <v>213</v>
      </c>
      <c r="DF8" t="s">
        <v>68</v>
      </c>
      <c r="DG8">
        <v>3.62</v>
      </c>
      <c r="DH8" t="s">
        <v>69</v>
      </c>
      <c r="DI8" t="s">
        <v>70</v>
      </c>
      <c r="DJ8">
        <v>0.26</v>
      </c>
      <c r="DL8" t="s">
        <v>70</v>
      </c>
      <c r="DM8">
        <v>0.26</v>
      </c>
      <c r="DO8" t="s">
        <v>68</v>
      </c>
      <c r="DP8">
        <v>3.62</v>
      </c>
      <c r="DQ8" t="s">
        <v>69</v>
      </c>
      <c r="DR8" t="s">
        <v>257</v>
      </c>
      <c r="DS8" s="427">
        <f>(DS11*DS13*DS9*DS19)+(DS12*DS14*DS10*DS20)</f>
        <v>196402.5</v>
      </c>
      <c r="DT8" t="s">
        <v>213</v>
      </c>
      <c r="DX8" t="s">
        <v>70</v>
      </c>
      <c r="DY8">
        <v>0.25</v>
      </c>
      <c r="EA8" t="s">
        <v>70</v>
      </c>
      <c r="EB8">
        <v>0.25</v>
      </c>
      <c r="ED8" t="s">
        <v>70</v>
      </c>
      <c r="EE8">
        <v>0.25</v>
      </c>
      <c r="EG8" t="s">
        <v>258</v>
      </c>
      <c r="EH8" s="427">
        <f>(EH13*EH11*EH9*EH19)+(EH14*EH12*EH10*EH20)</f>
        <v>41592.465753424665</v>
      </c>
      <c r="EI8" t="s">
        <v>213</v>
      </c>
      <c r="EM8" t="s">
        <v>70</v>
      </c>
      <c r="EN8">
        <v>0.25</v>
      </c>
      <c r="EP8" t="s">
        <v>70</v>
      </c>
      <c r="EQ8">
        <v>0.25</v>
      </c>
      <c r="ES8" t="s">
        <v>70</v>
      </c>
      <c r="ET8">
        <v>0.25</v>
      </c>
      <c r="EV8" t="s">
        <v>260</v>
      </c>
      <c r="EW8" s="427">
        <f>(EW11*EW13*EW9*EW19)+(EW12*EW14*EW10*EW20)</f>
        <v>12475.342465753425</v>
      </c>
      <c r="EX8" t="s">
        <v>213</v>
      </c>
      <c r="FB8" t="s">
        <v>290</v>
      </c>
      <c r="FC8">
        <v>0.25</v>
      </c>
      <c r="FE8" t="s">
        <v>290</v>
      </c>
      <c r="FF8">
        <v>0.25</v>
      </c>
      <c r="FH8" t="s">
        <v>290</v>
      </c>
      <c r="FI8">
        <v>0.25</v>
      </c>
      <c r="FK8" t="s">
        <v>263</v>
      </c>
      <c r="FL8" s="402">
        <f>(FL13*FL9*FL11*FL19)+(FL14*FL10*FL12*FL20)</f>
        <v>38250.684931506847</v>
      </c>
      <c r="FM8" t="s">
        <v>213</v>
      </c>
      <c r="FT8" t="s">
        <v>285</v>
      </c>
      <c r="FU8">
        <v>0.25</v>
      </c>
      <c r="FW8" t="s">
        <v>285</v>
      </c>
      <c r="FX8">
        <v>0.25</v>
      </c>
      <c r="FZ8" t="s">
        <v>266</v>
      </c>
      <c r="GA8" s="402">
        <f>(GA11*GA9*GA13*GA19)+(GA14*GA10*GA12*GA20)</f>
        <v>29898.630136986299</v>
      </c>
      <c r="GB8" t="s">
        <v>213</v>
      </c>
      <c r="GF8" t="s">
        <v>279</v>
      </c>
      <c r="GG8">
        <v>0.25</v>
      </c>
      <c r="GI8" t="s">
        <v>279</v>
      </c>
      <c r="GJ8">
        <v>0.25</v>
      </c>
      <c r="GL8" t="s">
        <v>279</v>
      </c>
      <c r="GM8">
        <v>0.25</v>
      </c>
      <c r="GO8" t="s">
        <v>267</v>
      </c>
      <c r="GP8" s="427">
        <f>(GP13*GP9*GP11*GP18)+(GP14*GP10*GP12*GP19)</f>
        <v>23224.657534246577</v>
      </c>
      <c r="GQ8" t="s">
        <v>213</v>
      </c>
      <c r="GU8" t="s">
        <v>284</v>
      </c>
      <c r="GV8">
        <v>0.25</v>
      </c>
      <c r="GX8" t="s">
        <v>284</v>
      </c>
      <c r="GY8">
        <v>0.25</v>
      </c>
      <c r="HA8" t="s">
        <v>284</v>
      </c>
      <c r="HB8">
        <v>0.25</v>
      </c>
      <c r="HD8" t="s">
        <v>411</v>
      </c>
      <c r="HE8" s="1">
        <f>B17</f>
        <v>30</v>
      </c>
      <c r="HF8" t="s">
        <v>119</v>
      </c>
    </row>
    <row r="9" spans="1:214" x14ac:dyDescent="0.2">
      <c r="A9" t="s">
        <v>440</v>
      </c>
      <c r="B9" s="410">
        <v>3.19</v>
      </c>
      <c r="C9" t="s">
        <v>449</v>
      </c>
      <c r="D9" t="s">
        <v>65</v>
      </c>
      <c r="E9">
        <v>1</v>
      </c>
      <c r="F9" t="s">
        <v>59</v>
      </c>
      <c r="G9" t="s">
        <v>447</v>
      </c>
      <c r="H9" s="1">
        <f>B16</f>
        <v>4.8099999999999997E-2</v>
      </c>
      <c r="I9" t="s">
        <v>61</v>
      </c>
      <c r="J9" t="s">
        <v>447</v>
      </c>
      <c r="K9" s="1">
        <f>B16</f>
        <v>4.8099999999999997E-2</v>
      </c>
      <c r="L9" t="s">
        <v>61</v>
      </c>
      <c r="M9" t="s">
        <v>51</v>
      </c>
      <c r="N9">
        <v>350</v>
      </c>
      <c r="O9" t="s">
        <v>60</v>
      </c>
      <c r="P9" t="s">
        <v>51</v>
      </c>
      <c r="Q9">
        <v>350</v>
      </c>
      <c r="R9" t="s">
        <v>60</v>
      </c>
      <c r="S9" t="s">
        <v>51</v>
      </c>
      <c r="T9">
        <v>350</v>
      </c>
      <c r="U9" t="s">
        <v>60</v>
      </c>
      <c r="V9" t="s">
        <v>65</v>
      </c>
      <c r="W9">
        <v>1</v>
      </c>
      <c r="X9" t="s">
        <v>59</v>
      </c>
      <c r="Y9" t="s">
        <v>65</v>
      </c>
      <c r="Z9">
        <v>1</v>
      </c>
      <c r="AA9" t="s">
        <v>59</v>
      </c>
      <c r="AB9" t="s">
        <v>438</v>
      </c>
      <c r="AC9" s="1">
        <f>B8</f>
        <v>4.8099999999999997E-2</v>
      </c>
      <c r="AD9" s="1">
        <f>B8</f>
        <v>4.8099999999999997E-2</v>
      </c>
      <c r="AE9" s="1">
        <f>B8</f>
        <v>4.8099999999999997E-2</v>
      </c>
      <c r="AF9" s="1">
        <f>B8</f>
        <v>4.8099999999999997E-2</v>
      </c>
      <c r="AG9" s="1">
        <f>B8</f>
        <v>4.8099999999999997E-2</v>
      </c>
      <c r="AH9" t="s">
        <v>448</v>
      </c>
      <c r="AI9" t="s">
        <v>51</v>
      </c>
      <c r="AJ9">
        <v>250</v>
      </c>
      <c r="AK9" t="s">
        <v>60</v>
      </c>
      <c r="AL9" t="s">
        <v>51</v>
      </c>
      <c r="AM9">
        <v>250</v>
      </c>
      <c r="AN9" t="s">
        <v>60</v>
      </c>
      <c r="AO9" t="s">
        <v>51</v>
      </c>
      <c r="AP9">
        <v>250</v>
      </c>
      <c r="AQ9" t="s">
        <v>60</v>
      </c>
      <c r="AR9" t="s">
        <v>51</v>
      </c>
      <c r="AS9">
        <v>225</v>
      </c>
      <c r="AT9" t="s">
        <v>60</v>
      </c>
      <c r="AU9" t="s">
        <v>51</v>
      </c>
      <c r="AV9">
        <v>225</v>
      </c>
      <c r="AW9" t="s">
        <v>60</v>
      </c>
      <c r="AX9" t="s">
        <v>51</v>
      </c>
      <c r="AY9">
        <v>225</v>
      </c>
      <c r="AZ9" t="s">
        <v>60</v>
      </c>
      <c r="BA9" t="s">
        <v>51</v>
      </c>
      <c r="BB9">
        <v>250</v>
      </c>
      <c r="BC9" t="s">
        <v>60</v>
      </c>
      <c r="BD9" t="s">
        <v>51</v>
      </c>
      <c r="BE9">
        <v>250</v>
      </c>
      <c r="BF9" t="s">
        <v>60</v>
      </c>
      <c r="BG9" t="s">
        <v>51</v>
      </c>
      <c r="BH9">
        <v>250</v>
      </c>
      <c r="BI9" t="s">
        <v>60</v>
      </c>
      <c r="BJ9" t="s">
        <v>51</v>
      </c>
      <c r="BK9">
        <f>BK10*BK11</f>
        <v>250</v>
      </c>
      <c r="BL9" t="s">
        <v>60</v>
      </c>
      <c r="BM9" t="s">
        <v>51</v>
      </c>
      <c r="BN9">
        <f>BN10*BN11</f>
        <v>250</v>
      </c>
      <c r="BO9" t="s">
        <v>60</v>
      </c>
      <c r="BP9" t="s">
        <v>51</v>
      </c>
      <c r="BQ9">
        <f>BQ10*BQ11</f>
        <v>250</v>
      </c>
      <c r="BR9" t="s">
        <v>60</v>
      </c>
      <c r="BS9" t="s">
        <v>65</v>
      </c>
      <c r="BT9">
        <v>1</v>
      </c>
      <c r="BU9" t="s">
        <v>59</v>
      </c>
      <c r="BV9" t="s">
        <v>447</v>
      </c>
      <c r="BW9" s="1">
        <f>E35</f>
        <v>4.8099999999999997E-2</v>
      </c>
      <c r="BX9" t="s">
        <v>448</v>
      </c>
      <c r="BY9" t="s">
        <v>148</v>
      </c>
      <c r="BZ9" s="1">
        <f>B18</f>
        <v>1359344473.5814338</v>
      </c>
      <c r="CA9" t="s">
        <v>149</v>
      </c>
      <c r="CB9" t="s">
        <v>51</v>
      </c>
      <c r="CC9">
        <v>75</v>
      </c>
      <c r="CD9" t="s">
        <v>60</v>
      </c>
      <c r="CE9" t="s">
        <v>51</v>
      </c>
      <c r="CF9">
        <v>75</v>
      </c>
      <c r="CG9" t="s">
        <v>60</v>
      </c>
      <c r="CH9" t="s">
        <v>51</v>
      </c>
      <c r="CI9">
        <v>75</v>
      </c>
      <c r="CJ9" t="s">
        <v>60</v>
      </c>
      <c r="CK9" t="s">
        <v>300</v>
      </c>
      <c r="CL9" s="17">
        <v>1</v>
      </c>
      <c r="CM9" t="s">
        <v>380</v>
      </c>
      <c r="CN9" t="s">
        <v>310</v>
      </c>
      <c r="CO9" s="17">
        <v>0.25</v>
      </c>
      <c r="CT9" t="s">
        <v>447</v>
      </c>
      <c r="CU9" s="1">
        <f>B16</f>
        <v>4.8099999999999997E-2</v>
      </c>
      <c r="CV9" t="s">
        <v>448</v>
      </c>
      <c r="CW9" t="s">
        <v>65</v>
      </c>
      <c r="CX9">
        <v>1</v>
      </c>
      <c r="CY9" t="s">
        <v>59</v>
      </c>
      <c r="CZ9" t="s">
        <v>447</v>
      </c>
      <c r="DA9" s="1">
        <f>B16</f>
        <v>4.8099999999999997E-2</v>
      </c>
      <c r="DB9" t="s">
        <v>448</v>
      </c>
      <c r="DC9" t="s">
        <v>467</v>
      </c>
      <c r="DD9" s="1">
        <f>B42</f>
        <v>10.4</v>
      </c>
      <c r="DE9" t="s">
        <v>380</v>
      </c>
      <c r="DF9" t="s">
        <v>74</v>
      </c>
      <c r="DG9">
        <v>0.25</v>
      </c>
      <c r="DH9" t="s">
        <v>75</v>
      </c>
      <c r="DO9" t="s">
        <v>74</v>
      </c>
      <c r="DP9">
        <v>0.25</v>
      </c>
      <c r="DQ9" t="s">
        <v>75</v>
      </c>
      <c r="DR9" t="s">
        <v>254</v>
      </c>
      <c r="DS9">
        <f>B45</f>
        <v>256</v>
      </c>
      <c r="DT9" t="s">
        <v>380</v>
      </c>
      <c r="DX9" t="s">
        <v>317</v>
      </c>
      <c r="DY9" s="1">
        <f>B23</f>
        <v>8.0000000000000002E-3</v>
      </c>
      <c r="EA9" t="s">
        <v>317</v>
      </c>
      <c r="EB9" s="1">
        <f>B23</f>
        <v>8.0000000000000002E-3</v>
      </c>
      <c r="ED9" t="s">
        <v>317</v>
      </c>
      <c r="EE9" s="1">
        <f>B23</f>
        <v>8.0000000000000002E-3</v>
      </c>
      <c r="EG9" t="s">
        <v>91</v>
      </c>
      <c r="EH9">
        <f>4.7*1000/365</f>
        <v>12.876712328767123</v>
      </c>
      <c r="EI9" t="s">
        <v>380</v>
      </c>
      <c r="EM9" t="s">
        <v>318</v>
      </c>
      <c r="EN9" s="1">
        <f>B24</f>
        <v>0.03</v>
      </c>
      <c r="EP9" t="s">
        <v>318</v>
      </c>
      <c r="EQ9" s="1">
        <f>B24</f>
        <v>0.03</v>
      </c>
      <c r="ES9" t="s">
        <v>318</v>
      </c>
      <c r="ET9" s="1">
        <f>B24</f>
        <v>0.03</v>
      </c>
      <c r="EV9" t="s">
        <v>261</v>
      </c>
      <c r="EW9">
        <f>2.3*1000/365</f>
        <v>6.3013698630136989</v>
      </c>
      <c r="EX9" t="s">
        <v>380</v>
      </c>
      <c r="FB9" t="s">
        <v>319</v>
      </c>
      <c r="FC9" s="406">
        <f>B26</f>
        <v>0.4</v>
      </c>
      <c r="FE9" t="s">
        <v>319</v>
      </c>
      <c r="FF9" s="406">
        <f>B26</f>
        <v>0.4</v>
      </c>
      <c r="FH9" t="s">
        <v>319</v>
      </c>
      <c r="FI9" s="406">
        <f>B26</f>
        <v>0.4</v>
      </c>
      <c r="FK9" t="s">
        <v>235</v>
      </c>
      <c r="FL9">
        <f>6.4*1000/365</f>
        <v>17.534246575342465</v>
      </c>
      <c r="FM9" t="s">
        <v>380</v>
      </c>
      <c r="FT9" t="s">
        <v>320</v>
      </c>
      <c r="FU9" s="17">
        <v>1</v>
      </c>
      <c r="FW9" t="s">
        <v>320</v>
      </c>
      <c r="FX9" s="17">
        <v>1</v>
      </c>
      <c r="FZ9" t="s">
        <v>233</v>
      </c>
      <c r="GA9" s="15">
        <f>5*1000/365</f>
        <v>13.698630136986301</v>
      </c>
      <c r="GB9" t="s">
        <v>380</v>
      </c>
      <c r="GF9" t="s">
        <v>321</v>
      </c>
      <c r="GG9" s="406">
        <f>B25</f>
        <v>10</v>
      </c>
      <c r="GI9" t="s">
        <v>321</v>
      </c>
      <c r="GJ9" s="406">
        <f>B25</f>
        <v>10</v>
      </c>
      <c r="GL9" t="s">
        <v>321</v>
      </c>
      <c r="GM9" s="406">
        <f>B25</f>
        <v>10</v>
      </c>
      <c r="GO9" t="s">
        <v>269</v>
      </c>
      <c r="GP9">
        <f>4.5*1000/365</f>
        <v>12.328767123287671</v>
      </c>
      <c r="GQ9" t="s">
        <v>380</v>
      </c>
      <c r="GU9" t="s">
        <v>322</v>
      </c>
      <c r="GV9" s="406">
        <f>B27</f>
        <v>0.24</v>
      </c>
      <c r="GX9" t="s">
        <v>322</v>
      </c>
      <c r="GY9" s="406">
        <f>B27</f>
        <v>0.24</v>
      </c>
      <c r="HA9" t="s">
        <v>322</v>
      </c>
      <c r="HB9" s="406">
        <f>B27</f>
        <v>0.24</v>
      </c>
      <c r="HD9" t="s">
        <v>71</v>
      </c>
      <c r="HE9">
        <v>0.3</v>
      </c>
    </row>
    <row r="10" spans="1:214" x14ac:dyDescent="0.2">
      <c r="A10" t="s">
        <v>441</v>
      </c>
      <c r="B10" s="410">
        <v>0.64300000000000002</v>
      </c>
      <c r="C10" t="s">
        <v>450</v>
      </c>
      <c r="D10" t="s">
        <v>436</v>
      </c>
      <c r="E10" s="1">
        <f>B5</f>
        <v>1.7E-5</v>
      </c>
      <c r="F10" t="s">
        <v>61</v>
      </c>
      <c r="G10" t="s">
        <v>451</v>
      </c>
      <c r="H10" s="1">
        <f>H5/(H6*H15)</f>
        <v>2.8244358895419614E-2</v>
      </c>
      <c r="I10" t="s">
        <v>21</v>
      </c>
      <c r="J10" t="s">
        <v>148</v>
      </c>
      <c r="K10" s="1">
        <f>B18</f>
        <v>1359344473.5814338</v>
      </c>
      <c r="L10" t="s">
        <v>149</v>
      </c>
      <c r="M10" t="s">
        <v>65</v>
      </c>
      <c r="N10">
        <v>1</v>
      </c>
      <c r="O10" t="s">
        <v>59</v>
      </c>
      <c r="P10" t="s">
        <v>65</v>
      </c>
      <c r="Q10">
        <v>1</v>
      </c>
      <c r="R10" t="s">
        <v>59</v>
      </c>
      <c r="S10" t="s">
        <v>65</v>
      </c>
      <c r="T10">
        <v>1</v>
      </c>
      <c r="U10" t="s">
        <v>59</v>
      </c>
      <c r="V10" t="s">
        <v>436</v>
      </c>
      <c r="W10" s="1">
        <f>B5</f>
        <v>1.7E-5</v>
      </c>
      <c r="X10" t="s">
        <v>72</v>
      </c>
      <c r="Y10" t="s">
        <v>436</v>
      </c>
      <c r="Z10" s="1">
        <f>B5</f>
        <v>1.7E-5</v>
      </c>
      <c r="AA10" t="s">
        <v>72</v>
      </c>
      <c r="AI10" t="s">
        <v>65</v>
      </c>
      <c r="AJ10">
        <v>1</v>
      </c>
      <c r="AK10" t="s">
        <v>59</v>
      </c>
      <c r="AL10" t="s">
        <v>65</v>
      </c>
      <c r="AM10">
        <v>1</v>
      </c>
      <c r="AN10" t="s">
        <v>59</v>
      </c>
      <c r="AO10" t="s">
        <v>65</v>
      </c>
      <c r="AP10">
        <v>1</v>
      </c>
      <c r="AQ10" t="s">
        <v>59</v>
      </c>
      <c r="AR10" t="s">
        <v>65</v>
      </c>
      <c r="AS10">
        <v>1</v>
      </c>
      <c r="AT10" t="s">
        <v>59</v>
      </c>
      <c r="AU10" t="s">
        <v>65</v>
      </c>
      <c r="AV10">
        <v>1</v>
      </c>
      <c r="AW10" t="s">
        <v>59</v>
      </c>
      <c r="AX10" t="s">
        <v>65</v>
      </c>
      <c r="AY10">
        <v>1</v>
      </c>
      <c r="AZ10" t="s">
        <v>59</v>
      </c>
      <c r="BA10" t="s">
        <v>65</v>
      </c>
      <c r="BB10">
        <v>1</v>
      </c>
      <c r="BC10" t="s">
        <v>59</v>
      </c>
      <c r="BD10" t="s">
        <v>65</v>
      </c>
      <c r="BE10">
        <v>1</v>
      </c>
      <c r="BF10" t="s">
        <v>59</v>
      </c>
      <c r="BG10" t="s">
        <v>65</v>
      </c>
      <c r="BH10">
        <v>1</v>
      </c>
      <c r="BI10" t="s">
        <v>59</v>
      </c>
      <c r="BJ10" t="s">
        <v>378</v>
      </c>
      <c r="BK10">
        <v>50</v>
      </c>
      <c r="BL10" t="s">
        <v>389</v>
      </c>
      <c r="BM10" t="s">
        <v>378</v>
      </c>
      <c r="BN10">
        <v>50</v>
      </c>
      <c r="BO10" t="s">
        <v>389</v>
      </c>
      <c r="BP10" t="s">
        <v>378</v>
      </c>
      <c r="BQ10">
        <v>50</v>
      </c>
      <c r="BR10" t="s">
        <v>389</v>
      </c>
      <c r="BS10" t="s">
        <v>436</v>
      </c>
      <c r="BT10" s="1">
        <f>E10</f>
        <v>1.7E-5</v>
      </c>
      <c r="BU10" t="s">
        <v>448</v>
      </c>
      <c r="BV10" t="s">
        <v>451</v>
      </c>
      <c r="BW10" s="1">
        <f>BW5/(BW6*BW13)</f>
        <v>0.14085379939038475</v>
      </c>
      <c r="BX10" t="s">
        <v>21</v>
      </c>
      <c r="BY10" t="s">
        <v>37</v>
      </c>
      <c r="BZ10" s="1">
        <f>(BZ33*BZ11)/(1-EXP(-BZ11*BZ33))</f>
        <v>1.330180847185898</v>
      </c>
      <c r="CB10" t="s">
        <v>65</v>
      </c>
      <c r="CC10">
        <v>1</v>
      </c>
      <c r="CD10" t="s">
        <v>59</v>
      </c>
      <c r="CE10" t="s">
        <v>65</v>
      </c>
      <c r="CF10">
        <v>1</v>
      </c>
      <c r="CG10" t="s">
        <v>59</v>
      </c>
      <c r="CH10" t="s">
        <v>65</v>
      </c>
      <c r="CI10">
        <v>1</v>
      </c>
      <c r="CJ10" t="s">
        <v>59</v>
      </c>
      <c r="CN10" t="s">
        <v>308</v>
      </c>
      <c r="CO10" s="17">
        <v>1</v>
      </c>
      <c r="CP10" t="s">
        <v>431</v>
      </c>
      <c r="CT10" t="s">
        <v>148</v>
      </c>
      <c r="CU10" s="1">
        <f>B18</f>
        <v>1359344473.5814338</v>
      </c>
      <c r="CV10" t="s">
        <v>149</v>
      </c>
      <c r="CW10" t="s">
        <v>436</v>
      </c>
      <c r="CX10" s="1">
        <f>B5</f>
        <v>1.7E-5</v>
      </c>
      <c r="CY10" t="s">
        <v>448</v>
      </c>
      <c r="CZ10" t="s">
        <v>37</v>
      </c>
      <c r="DA10" s="1">
        <f>(DA39*DA11)/(1-EXP(-DA11*DA39))</f>
        <v>1.0115944671045347</v>
      </c>
      <c r="DC10" t="s">
        <v>468</v>
      </c>
      <c r="DD10" s="1">
        <f>B43</f>
        <v>28.5</v>
      </c>
      <c r="DE10" t="s">
        <v>380</v>
      </c>
      <c r="DF10" t="s">
        <v>63</v>
      </c>
      <c r="DG10">
        <f>B28</f>
        <v>0.03</v>
      </c>
      <c r="DO10" t="s">
        <v>63</v>
      </c>
      <c r="DP10">
        <f>B28</f>
        <v>0.03</v>
      </c>
      <c r="DR10" t="s">
        <v>255</v>
      </c>
      <c r="DS10">
        <f>B46</f>
        <v>615</v>
      </c>
      <c r="DT10" t="s">
        <v>380</v>
      </c>
      <c r="DX10" t="s">
        <v>84</v>
      </c>
      <c r="DY10">
        <v>16.899999999999999</v>
      </c>
      <c r="EA10" t="s">
        <v>84</v>
      </c>
      <c r="EB10">
        <v>16.899999999999999</v>
      </c>
      <c r="ED10" t="s">
        <v>84</v>
      </c>
      <c r="EE10">
        <v>16.899999999999999</v>
      </c>
      <c r="EG10" t="s">
        <v>109</v>
      </c>
      <c r="EH10">
        <f>50.2*1000/365</f>
        <v>137.53424657534248</v>
      </c>
      <c r="EI10" t="s">
        <v>380</v>
      </c>
      <c r="EM10" t="s">
        <v>85</v>
      </c>
      <c r="EN10">
        <v>11.77</v>
      </c>
      <c r="EP10" t="s">
        <v>85</v>
      </c>
      <c r="EQ10">
        <v>11.77</v>
      </c>
      <c r="ES10" t="s">
        <v>85</v>
      </c>
      <c r="ET10">
        <v>11.77</v>
      </c>
      <c r="EV10" t="s">
        <v>262</v>
      </c>
      <c r="EW10">
        <f>14.9*1000/365</f>
        <v>40.821917808219176</v>
      </c>
      <c r="EX10" t="s">
        <v>380</v>
      </c>
      <c r="FB10" t="s">
        <v>292</v>
      </c>
      <c r="FC10">
        <v>0.2</v>
      </c>
      <c r="FE10" t="s">
        <v>292</v>
      </c>
      <c r="FF10">
        <v>0.2</v>
      </c>
      <c r="FH10" t="s">
        <v>292</v>
      </c>
      <c r="FI10">
        <v>0.2</v>
      </c>
      <c r="FK10" t="s">
        <v>236</v>
      </c>
      <c r="FL10">
        <f>45.8*1000/365</f>
        <v>125.47945205479452</v>
      </c>
      <c r="FM10" t="s">
        <v>380</v>
      </c>
      <c r="FT10" t="s">
        <v>289</v>
      </c>
      <c r="FU10" s="17">
        <v>1</v>
      </c>
      <c r="FW10" t="s">
        <v>289</v>
      </c>
      <c r="FX10" s="17">
        <v>1</v>
      </c>
      <c r="FZ10" t="s">
        <v>234</v>
      </c>
      <c r="GA10">
        <f>35.8*1000/365</f>
        <v>98.082191780821915</v>
      </c>
      <c r="GB10" t="s">
        <v>380</v>
      </c>
      <c r="GF10" t="s">
        <v>275</v>
      </c>
      <c r="GG10">
        <v>0.2</v>
      </c>
      <c r="GI10" t="s">
        <v>275</v>
      </c>
      <c r="GJ10">
        <v>0.2</v>
      </c>
      <c r="GL10" t="s">
        <v>275</v>
      </c>
      <c r="GM10">
        <v>0.2</v>
      </c>
      <c r="GO10" t="s">
        <v>268</v>
      </c>
      <c r="GP10">
        <f>27.7*1000/365</f>
        <v>75.890410958904113</v>
      </c>
      <c r="GQ10" t="s">
        <v>380</v>
      </c>
      <c r="GU10" t="s">
        <v>280</v>
      </c>
      <c r="GV10">
        <v>4.7</v>
      </c>
      <c r="GX10" t="s">
        <v>280</v>
      </c>
      <c r="GY10">
        <v>4.7</v>
      </c>
      <c r="HA10" t="s">
        <v>280</v>
      </c>
      <c r="HB10">
        <v>4.7</v>
      </c>
      <c r="HD10" t="s">
        <v>76</v>
      </c>
      <c r="HE10" s="1">
        <v>1.5</v>
      </c>
    </row>
    <row r="11" spans="1:214" x14ac:dyDescent="0.2">
      <c r="A11" t="s">
        <v>442</v>
      </c>
      <c r="B11" s="410">
        <v>0.63600000000000001</v>
      </c>
      <c r="C11" t="s">
        <v>449</v>
      </c>
      <c r="D11" t="s">
        <v>77</v>
      </c>
      <c r="E11" s="427">
        <f>((E14/E15)*E24*E12*E16*E26)+((E14/E15)*E25*E13*E17*E27)</f>
        <v>6192.3076923076924</v>
      </c>
      <c r="F11" t="s">
        <v>407</v>
      </c>
      <c r="G11" t="s">
        <v>452</v>
      </c>
      <c r="H11" s="1">
        <f>H5/(H7*H16*H28)</f>
        <v>18.998903909389842</v>
      </c>
      <c r="I11" t="s">
        <v>21</v>
      </c>
      <c r="J11" t="s">
        <v>37</v>
      </c>
      <c r="K11" s="1">
        <f>(K45*K12)/(1-EXP(-K12*K45))</f>
        <v>1.330180847185898</v>
      </c>
      <c r="M11" t="s">
        <v>462</v>
      </c>
      <c r="N11">
        <v>0.4</v>
      </c>
      <c r="P11" t="s">
        <v>462</v>
      </c>
      <c r="Q11">
        <v>0.4</v>
      </c>
      <c r="S11" t="s">
        <v>462</v>
      </c>
      <c r="T11">
        <v>0.4</v>
      </c>
      <c r="V11" t="s">
        <v>79</v>
      </c>
      <c r="W11">
        <v>8</v>
      </c>
      <c r="X11" t="s">
        <v>80</v>
      </c>
      <c r="Y11" t="s">
        <v>79</v>
      </c>
      <c r="Z11">
        <v>8</v>
      </c>
      <c r="AA11" t="s">
        <v>80</v>
      </c>
      <c r="AB11" t="s">
        <v>65</v>
      </c>
      <c r="AC11">
        <v>1</v>
      </c>
      <c r="AD11">
        <v>1</v>
      </c>
      <c r="AE11">
        <v>1</v>
      </c>
      <c r="AF11">
        <v>1</v>
      </c>
      <c r="AG11">
        <v>1</v>
      </c>
      <c r="AH11" t="s">
        <v>88</v>
      </c>
      <c r="AI11" t="s">
        <v>462</v>
      </c>
      <c r="AJ11">
        <v>0.4</v>
      </c>
      <c r="AL11" t="s">
        <v>462</v>
      </c>
      <c r="AM11">
        <v>0.4</v>
      </c>
      <c r="AO11" t="s">
        <v>462</v>
      </c>
      <c r="AP11">
        <v>0.4</v>
      </c>
      <c r="AR11" t="s">
        <v>462</v>
      </c>
      <c r="AS11">
        <v>0.4</v>
      </c>
      <c r="AU11" t="s">
        <v>462</v>
      </c>
      <c r="AV11">
        <v>0.4</v>
      </c>
      <c r="AX11" t="s">
        <v>462</v>
      </c>
      <c r="AY11">
        <v>0.4</v>
      </c>
      <c r="BA11" t="s">
        <v>462</v>
      </c>
      <c r="BB11">
        <v>0.4</v>
      </c>
      <c r="BD11" t="s">
        <v>462</v>
      </c>
      <c r="BE11">
        <v>0.4</v>
      </c>
      <c r="BG11" t="s">
        <v>462</v>
      </c>
      <c r="BH11">
        <v>0.4</v>
      </c>
      <c r="BJ11" t="s">
        <v>377</v>
      </c>
      <c r="BK11">
        <v>5</v>
      </c>
      <c r="BL11" t="s">
        <v>390</v>
      </c>
      <c r="BM11" t="s">
        <v>377</v>
      </c>
      <c r="BN11">
        <v>5</v>
      </c>
      <c r="BO11" t="s">
        <v>390</v>
      </c>
      <c r="BP11" t="s">
        <v>377</v>
      </c>
      <c r="BQ11">
        <v>5</v>
      </c>
      <c r="BR11" t="s">
        <v>390</v>
      </c>
      <c r="BS11" t="s">
        <v>77</v>
      </c>
      <c r="BT11" s="427">
        <f>(BT25*BT17*BT14*(1/24)*BT12*BT29)+(BT26*BT18*BT15*(1/24)*BT13*BT30)</f>
        <v>93.75</v>
      </c>
      <c r="BU11" t="s">
        <v>407</v>
      </c>
      <c r="BV11" t="s">
        <v>452</v>
      </c>
      <c r="BW11" s="1"/>
      <c r="BX11" t="s">
        <v>21</v>
      </c>
      <c r="BY11" t="s">
        <v>49</v>
      </c>
      <c r="BZ11" s="1">
        <f>0.693/BZ12</f>
        <v>2.3099999999999999E-2</v>
      </c>
      <c r="CB11" t="s">
        <v>463</v>
      </c>
      <c r="CC11">
        <v>8.5099999999999995E-2</v>
      </c>
      <c r="CE11" t="s">
        <v>463</v>
      </c>
      <c r="CF11">
        <v>4.3299999999999998E-2</v>
      </c>
      <c r="CH11" t="s">
        <v>463</v>
      </c>
      <c r="CI11">
        <v>7.2400000000000006E-2</v>
      </c>
      <c r="CN11" t="s">
        <v>305</v>
      </c>
      <c r="CO11" s="17">
        <v>1</v>
      </c>
      <c r="CP11" t="s">
        <v>431</v>
      </c>
      <c r="CT11" t="s">
        <v>37</v>
      </c>
      <c r="CU11" s="1">
        <f>(CU45*CU12)/(1-EXP(-CU12*CU45))</f>
        <v>1.5321557426384087</v>
      </c>
      <c r="CW11" t="s">
        <v>77</v>
      </c>
      <c r="CX11" s="427">
        <f>((CX15/24)*CX24*CX12*CX16*CX26)+((CX14/24)*CX25*CX13*CX17*CX27)</f>
        <v>6475</v>
      </c>
      <c r="CY11" t="s">
        <v>407</v>
      </c>
      <c r="CZ11" t="s">
        <v>49</v>
      </c>
      <c r="DA11" s="1">
        <f>0.693/DA12</f>
        <v>2.3099999999999999E-2</v>
      </c>
      <c r="DC11" t="s">
        <v>470</v>
      </c>
      <c r="DD11" s="427">
        <f>(DD12*DD15*DD16*DD22)+(DD13*DD14*DD17*DD23)</f>
        <v>17496.5</v>
      </c>
      <c r="DE11" t="s">
        <v>213</v>
      </c>
      <c r="DF11" t="s">
        <v>92</v>
      </c>
      <c r="DG11">
        <f>DG19+DG20</f>
        <v>8.9999999999999992E-5</v>
      </c>
      <c r="DO11" t="s">
        <v>92</v>
      </c>
      <c r="DP11">
        <f>DP19+DP20</f>
        <v>2.6999999999999999E-5</v>
      </c>
      <c r="DR11" t="s">
        <v>67</v>
      </c>
      <c r="DS11">
        <v>350</v>
      </c>
      <c r="DT11" t="s">
        <v>52</v>
      </c>
      <c r="DX11" t="s">
        <v>93</v>
      </c>
      <c r="DY11">
        <v>0.41</v>
      </c>
      <c r="EA11" t="s">
        <v>93</v>
      </c>
      <c r="EB11">
        <v>0.41</v>
      </c>
      <c r="ED11" t="s">
        <v>93</v>
      </c>
      <c r="EE11">
        <v>0.41</v>
      </c>
      <c r="EG11" t="s">
        <v>67</v>
      </c>
      <c r="EH11">
        <v>350</v>
      </c>
      <c r="EI11" t="s">
        <v>52</v>
      </c>
      <c r="EM11" t="s">
        <v>94</v>
      </c>
      <c r="EN11">
        <v>0.39</v>
      </c>
      <c r="EP11" t="s">
        <v>94</v>
      </c>
      <c r="EQ11">
        <v>0.39</v>
      </c>
      <c r="ES11" t="s">
        <v>94</v>
      </c>
      <c r="ET11">
        <v>0.39</v>
      </c>
      <c r="EV11" t="s">
        <v>385</v>
      </c>
      <c r="EW11">
        <v>350</v>
      </c>
      <c r="EX11" t="s">
        <v>52</v>
      </c>
      <c r="FB11" t="s">
        <v>291</v>
      </c>
      <c r="FC11">
        <v>2.1999999999999999E-2</v>
      </c>
      <c r="FE11" t="s">
        <v>291</v>
      </c>
      <c r="FF11">
        <v>2.1999999999999999E-2</v>
      </c>
      <c r="FH11" t="s">
        <v>291</v>
      </c>
      <c r="FI11">
        <v>2.1999999999999999E-2</v>
      </c>
      <c r="FK11" t="s">
        <v>385</v>
      </c>
      <c r="FL11">
        <v>350</v>
      </c>
      <c r="FM11" t="s">
        <v>52</v>
      </c>
      <c r="FT11" t="s">
        <v>288</v>
      </c>
      <c r="FU11" s="17">
        <v>1</v>
      </c>
      <c r="FW11" t="s">
        <v>288</v>
      </c>
      <c r="FX11" s="17">
        <v>1</v>
      </c>
      <c r="FZ11" t="s">
        <v>385</v>
      </c>
      <c r="GA11">
        <v>350</v>
      </c>
      <c r="GB11" t="s">
        <v>52</v>
      </c>
      <c r="GF11" t="s">
        <v>276</v>
      </c>
      <c r="GG11">
        <v>2.1999999999999999E-2</v>
      </c>
      <c r="GI11" t="s">
        <v>276</v>
      </c>
      <c r="GJ11">
        <v>2.1999999999999999E-2</v>
      </c>
      <c r="GL11" t="s">
        <v>276</v>
      </c>
      <c r="GM11">
        <v>2.1999999999999999E-2</v>
      </c>
      <c r="GO11" t="s">
        <v>385</v>
      </c>
      <c r="GP11">
        <v>350</v>
      </c>
      <c r="GQ11" t="s">
        <v>52</v>
      </c>
      <c r="GU11" t="s">
        <v>281</v>
      </c>
      <c r="GV11">
        <v>0.37</v>
      </c>
      <c r="GX11" t="s">
        <v>281</v>
      </c>
      <c r="GY11">
        <v>0.37</v>
      </c>
      <c r="HA11" t="s">
        <v>281</v>
      </c>
      <c r="HB11">
        <v>0.37</v>
      </c>
      <c r="HD11" t="s">
        <v>86</v>
      </c>
      <c r="HE11">
        <v>26</v>
      </c>
    </row>
    <row r="12" spans="1:214" x14ac:dyDescent="0.2">
      <c r="A12" t="s">
        <v>443</v>
      </c>
      <c r="B12" s="410">
        <v>1.82</v>
      </c>
      <c r="C12" t="s">
        <v>449</v>
      </c>
      <c r="D12" t="s">
        <v>87</v>
      </c>
      <c r="E12">
        <f>B33</f>
        <v>10</v>
      </c>
      <c r="F12" t="s">
        <v>78</v>
      </c>
      <c r="G12" t="s">
        <v>457</v>
      </c>
      <c r="H12" s="1">
        <f>H5/(H8*(1/H45)*H21)</f>
        <v>5784998.0188362952</v>
      </c>
      <c r="I12" t="s">
        <v>21</v>
      </c>
      <c r="J12" t="s">
        <v>49</v>
      </c>
      <c r="K12" s="1">
        <f>0.693/K13</f>
        <v>2.3099999999999999E-2</v>
      </c>
      <c r="M12" t="s">
        <v>463</v>
      </c>
      <c r="N12">
        <v>1</v>
      </c>
      <c r="P12" t="s">
        <v>463</v>
      </c>
      <c r="Q12">
        <v>1</v>
      </c>
      <c r="S12" t="s">
        <v>463</v>
      </c>
      <c r="T12">
        <v>1</v>
      </c>
      <c r="W12">
        <v>24</v>
      </c>
      <c r="X12" t="s">
        <v>80</v>
      </c>
      <c r="Z12">
        <v>24</v>
      </c>
      <c r="AA12" t="s">
        <v>80</v>
      </c>
      <c r="AB12" t="s">
        <v>377</v>
      </c>
      <c r="AF12">
        <v>5</v>
      </c>
      <c r="AG12">
        <v>5</v>
      </c>
      <c r="AH12" t="s">
        <v>193</v>
      </c>
      <c r="AI12" t="s">
        <v>463</v>
      </c>
      <c r="AJ12">
        <v>1</v>
      </c>
      <c r="AL12" t="s">
        <v>463</v>
      </c>
      <c r="AM12">
        <v>1</v>
      </c>
      <c r="AO12" t="s">
        <v>463</v>
      </c>
      <c r="AP12">
        <v>1</v>
      </c>
      <c r="AR12" t="s">
        <v>463</v>
      </c>
      <c r="AS12">
        <v>1</v>
      </c>
      <c r="AU12" t="s">
        <v>463</v>
      </c>
      <c r="AV12">
        <v>1</v>
      </c>
      <c r="AX12" t="s">
        <v>463</v>
      </c>
      <c r="AY12">
        <v>1</v>
      </c>
      <c r="BA12" t="s">
        <v>463</v>
      </c>
      <c r="BB12">
        <v>1</v>
      </c>
      <c r="BD12" t="s">
        <v>463</v>
      </c>
      <c r="BE12">
        <v>1</v>
      </c>
      <c r="BG12" t="s">
        <v>463</v>
      </c>
      <c r="BH12">
        <v>1</v>
      </c>
      <c r="BJ12" t="s">
        <v>65</v>
      </c>
      <c r="BK12">
        <v>1</v>
      </c>
      <c r="BL12" t="s">
        <v>59</v>
      </c>
      <c r="BM12" t="s">
        <v>65</v>
      </c>
      <c r="BN12">
        <v>1</v>
      </c>
      <c r="BO12" t="s">
        <v>59</v>
      </c>
      <c r="BP12" t="s">
        <v>65</v>
      </c>
      <c r="BQ12">
        <v>1</v>
      </c>
      <c r="BR12" t="s">
        <v>59</v>
      </c>
      <c r="BS12" t="s">
        <v>87</v>
      </c>
      <c r="BT12">
        <f>B33</f>
        <v>10</v>
      </c>
      <c r="BU12" t="s">
        <v>78</v>
      </c>
      <c r="BV12" t="s">
        <v>457</v>
      </c>
      <c r="BW12" s="1">
        <f>BW5/(BW8*(1/BW32)*BW16)</f>
        <v>15090439.27648579</v>
      </c>
      <c r="BX12" t="s">
        <v>21</v>
      </c>
      <c r="BY12" t="s">
        <v>411</v>
      </c>
      <c r="BZ12" s="1">
        <f>B17</f>
        <v>30</v>
      </c>
      <c r="CA12" t="s">
        <v>119</v>
      </c>
      <c r="CB12" t="s">
        <v>105</v>
      </c>
      <c r="CC12">
        <v>0.74199999999999999</v>
      </c>
      <c r="CE12" t="s">
        <v>105</v>
      </c>
      <c r="CF12">
        <v>0.65300000000000002</v>
      </c>
      <c r="CH12" t="s">
        <v>105</v>
      </c>
      <c r="CI12">
        <v>0.73599999999999999</v>
      </c>
      <c r="CN12" t="s">
        <v>306</v>
      </c>
      <c r="CO12" s="17">
        <v>1</v>
      </c>
      <c r="CP12" t="s">
        <v>75</v>
      </c>
      <c r="CT12" t="s">
        <v>49</v>
      </c>
      <c r="CU12" s="1">
        <f>0.693/CU13</f>
        <v>2.3099999999999999E-2</v>
      </c>
      <c r="CW12" t="s">
        <v>87</v>
      </c>
      <c r="CX12">
        <f>B33</f>
        <v>10</v>
      </c>
      <c r="CY12" t="s">
        <v>78</v>
      </c>
      <c r="CZ12" t="s">
        <v>411</v>
      </c>
      <c r="DA12" s="1">
        <f>B17</f>
        <v>30</v>
      </c>
      <c r="DB12" t="s">
        <v>119</v>
      </c>
      <c r="DC12" t="s">
        <v>471</v>
      </c>
      <c r="DD12" s="1">
        <f>B40</f>
        <v>14.8</v>
      </c>
      <c r="DE12" t="s">
        <v>380</v>
      </c>
      <c r="DF12" t="s">
        <v>101</v>
      </c>
      <c r="DG12">
        <v>10950</v>
      </c>
      <c r="DH12" t="s">
        <v>102</v>
      </c>
      <c r="DO12" t="s">
        <v>101</v>
      </c>
      <c r="DP12">
        <v>10950</v>
      </c>
      <c r="DQ12" t="s">
        <v>102</v>
      </c>
      <c r="DR12" t="s">
        <v>73</v>
      </c>
      <c r="DS12">
        <v>350</v>
      </c>
      <c r="DT12" t="s">
        <v>52</v>
      </c>
      <c r="DX12" t="s">
        <v>103</v>
      </c>
      <c r="DY12">
        <v>1</v>
      </c>
      <c r="EA12" t="s">
        <v>103</v>
      </c>
      <c r="EB12">
        <v>1</v>
      </c>
      <c r="ED12" t="s">
        <v>103</v>
      </c>
      <c r="EE12">
        <v>1</v>
      </c>
      <c r="EG12" t="s">
        <v>73</v>
      </c>
      <c r="EH12">
        <v>350</v>
      </c>
      <c r="EI12" t="s">
        <v>52</v>
      </c>
      <c r="EM12" t="s">
        <v>104</v>
      </c>
      <c r="EN12">
        <v>1</v>
      </c>
      <c r="EP12" t="s">
        <v>104</v>
      </c>
      <c r="EQ12">
        <v>1</v>
      </c>
      <c r="ES12" t="s">
        <v>104</v>
      </c>
      <c r="ET12">
        <v>1</v>
      </c>
      <c r="EV12" t="s">
        <v>386</v>
      </c>
      <c r="EW12">
        <v>350</v>
      </c>
      <c r="EX12" t="s">
        <v>52</v>
      </c>
      <c r="FB12" t="s">
        <v>293</v>
      </c>
      <c r="FC12" s="17">
        <v>1</v>
      </c>
      <c r="FE12" t="s">
        <v>293</v>
      </c>
      <c r="FF12" s="17">
        <v>1</v>
      </c>
      <c r="FH12" t="s">
        <v>293</v>
      </c>
      <c r="FI12" s="17">
        <v>1</v>
      </c>
      <c r="FK12" t="s">
        <v>386</v>
      </c>
      <c r="FL12">
        <v>350</v>
      </c>
      <c r="FM12" t="s">
        <v>52</v>
      </c>
      <c r="FT12" t="s">
        <v>287</v>
      </c>
      <c r="FU12" s="17">
        <v>1</v>
      </c>
      <c r="FW12" t="s">
        <v>287</v>
      </c>
      <c r="FX12" s="17">
        <v>1</v>
      </c>
      <c r="FZ12" t="s">
        <v>386</v>
      </c>
      <c r="GA12">
        <v>350</v>
      </c>
      <c r="GB12" t="s">
        <v>52</v>
      </c>
      <c r="GF12" t="s">
        <v>277</v>
      </c>
      <c r="GG12">
        <v>1</v>
      </c>
      <c r="GI12" t="s">
        <v>277</v>
      </c>
      <c r="GJ12">
        <v>1</v>
      </c>
      <c r="GL12" t="s">
        <v>277</v>
      </c>
      <c r="GM12">
        <v>1</v>
      </c>
      <c r="GO12" t="s">
        <v>386</v>
      </c>
      <c r="GP12">
        <v>350</v>
      </c>
      <c r="GQ12" t="s">
        <v>52</v>
      </c>
      <c r="GU12" t="s">
        <v>282</v>
      </c>
      <c r="GV12">
        <v>1</v>
      </c>
      <c r="GX12" t="s">
        <v>282</v>
      </c>
      <c r="GY12">
        <v>1</v>
      </c>
      <c r="HA12" t="s">
        <v>282</v>
      </c>
      <c r="HB12">
        <v>1</v>
      </c>
      <c r="HE12" s="1"/>
    </row>
    <row r="13" spans="1:214" x14ac:dyDescent="0.2">
      <c r="A13" t="s">
        <v>444</v>
      </c>
      <c r="B13" s="410">
        <v>2.83</v>
      </c>
      <c r="C13" t="s">
        <v>449</v>
      </c>
      <c r="D13" t="s">
        <v>95</v>
      </c>
      <c r="E13">
        <f>B34</f>
        <v>20</v>
      </c>
      <c r="F13" t="s">
        <v>78</v>
      </c>
      <c r="G13" t="s">
        <v>454</v>
      </c>
      <c r="H13" s="1">
        <f>H14/((1/H42)*(H50+H51+H52))</f>
        <v>0.29749345542044936</v>
      </c>
      <c r="I13" t="s">
        <v>21</v>
      </c>
      <c r="J13" t="s">
        <v>411</v>
      </c>
      <c r="K13" s="1">
        <f>B17</f>
        <v>30</v>
      </c>
      <c r="L13" t="s">
        <v>119</v>
      </c>
      <c r="M13" t="s">
        <v>105</v>
      </c>
      <c r="N13">
        <v>1</v>
      </c>
      <c r="P13" t="s">
        <v>105</v>
      </c>
      <c r="Q13">
        <f>N13</f>
        <v>1</v>
      </c>
      <c r="S13" t="s">
        <v>105</v>
      </c>
      <c r="T13">
        <f>N13</f>
        <v>1</v>
      </c>
      <c r="V13" t="s">
        <v>96</v>
      </c>
      <c r="W13">
        <f>B35</f>
        <v>60</v>
      </c>
      <c r="X13" t="s">
        <v>78</v>
      </c>
      <c r="Y13" t="s">
        <v>96</v>
      </c>
      <c r="Z13">
        <f>B35</f>
        <v>60</v>
      </c>
      <c r="AA13" t="s">
        <v>78</v>
      </c>
      <c r="AB13" t="s">
        <v>378</v>
      </c>
      <c r="AF13">
        <v>50</v>
      </c>
      <c r="AG13">
        <v>50</v>
      </c>
      <c r="AH13" t="s">
        <v>379</v>
      </c>
      <c r="AI13" t="s">
        <v>105</v>
      </c>
      <c r="AJ13">
        <f>N13</f>
        <v>1</v>
      </c>
      <c r="AL13" t="s">
        <v>105</v>
      </c>
      <c r="AM13">
        <f>Q13</f>
        <v>1</v>
      </c>
      <c r="AO13" t="s">
        <v>105</v>
      </c>
      <c r="AP13">
        <f>T13</f>
        <v>1</v>
      </c>
      <c r="AR13" t="s">
        <v>105</v>
      </c>
      <c r="AS13">
        <f>AJ13</f>
        <v>1</v>
      </c>
      <c r="AU13" t="s">
        <v>105</v>
      </c>
      <c r="AV13">
        <f>AM13</f>
        <v>1</v>
      </c>
      <c r="AX13" t="s">
        <v>105</v>
      </c>
      <c r="AY13">
        <f>AP13</f>
        <v>1</v>
      </c>
      <c r="BA13" t="s">
        <v>105</v>
      </c>
      <c r="BB13">
        <v>1</v>
      </c>
      <c r="BD13" t="s">
        <v>105</v>
      </c>
      <c r="BE13">
        <f>AV13</f>
        <v>1</v>
      </c>
      <c r="BG13" t="s">
        <v>105</v>
      </c>
      <c r="BH13">
        <f>AY13</f>
        <v>1</v>
      </c>
      <c r="BJ13" t="s">
        <v>463</v>
      </c>
      <c r="BK13">
        <v>2.41E-4</v>
      </c>
      <c r="BM13" t="s">
        <v>463</v>
      </c>
      <c r="BN13">
        <v>1.17E-4</v>
      </c>
      <c r="BP13" t="s">
        <v>463</v>
      </c>
      <c r="BQ13">
        <v>2.2599999999999999E-4</v>
      </c>
      <c r="BS13" t="s">
        <v>95</v>
      </c>
      <c r="BT13">
        <f>B34</f>
        <v>20</v>
      </c>
      <c r="BU13" t="s">
        <v>78</v>
      </c>
      <c r="BV13" t="s">
        <v>81</v>
      </c>
      <c r="BW13" s="426">
        <f>((BW18*BW21*BW23*BW26*BW14*BW33)+(BW19*BW22*BW24*BW27*BW15*BW34))</f>
        <v>147.6</v>
      </c>
      <c r="BX13" t="s">
        <v>180</v>
      </c>
      <c r="BY13" t="s">
        <v>451</v>
      </c>
      <c r="BZ13" s="1">
        <f>(BZ5/(BZ6*BZ16*(1/BZ36)))*BZ10</f>
        <v>1.2290883318881016</v>
      </c>
      <c r="CA13" t="s">
        <v>22</v>
      </c>
      <c r="CB13" t="s">
        <v>166</v>
      </c>
      <c r="CC13">
        <v>1</v>
      </c>
      <c r="CD13" t="s">
        <v>117</v>
      </c>
      <c r="CE13" t="s">
        <v>166</v>
      </c>
      <c r="CF13">
        <v>1</v>
      </c>
      <c r="CG13" t="s">
        <v>117</v>
      </c>
      <c r="CH13" t="s">
        <v>166</v>
      </c>
      <c r="CI13">
        <v>1</v>
      </c>
      <c r="CJ13" t="s">
        <v>117</v>
      </c>
      <c r="CN13" t="s">
        <v>307</v>
      </c>
      <c r="CO13" s="17">
        <v>1</v>
      </c>
      <c r="CP13" t="s">
        <v>75</v>
      </c>
      <c r="CT13" t="s">
        <v>411</v>
      </c>
      <c r="CU13" s="1">
        <f>B17</f>
        <v>30</v>
      </c>
      <c r="CV13" t="s">
        <v>119</v>
      </c>
      <c r="CW13" t="s">
        <v>95</v>
      </c>
      <c r="CX13">
        <f>B34</f>
        <v>20</v>
      </c>
      <c r="CY13" t="s">
        <v>78</v>
      </c>
      <c r="CZ13" t="s">
        <v>451</v>
      </c>
      <c r="DA13" s="1">
        <f>DA5/(DA6*DA24)</f>
        <v>2.6494228099937289E-2</v>
      </c>
      <c r="DB13" t="s">
        <v>24</v>
      </c>
      <c r="DC13" t="s">
        <v>472</v>
      </c>
      <c r="DD13" s="1">
        <f>B41</f>
        <v>56.2</v>
      </c>
      <c r="DE13" t="s">
        <v>380</v>
      </c>
      <c r="DF13" t="s">
        <v>110</v>
      </c>
      <c r="DG13">
        <v>240</v>
      </c>
      <c r="DH13" t="s">
        <v>111</v>
      </c>
      <c r="DO13" t="s">
        <v>110</v>
      </c>
      <c r="DP13">
        <v>240</v>
      </c>
      <c r="DQ13" t="s">
        <v>111</v>
      </c>
      <c r="DR13" t="s">
        <v>227</v>
      </c>
      <c r="DS13">
        <v>1</v>
      </c>
      <c r="DT13" t="s">
        <v>119</v>
      </c>
      <c r="DX13" t="s">
        <v>112</v>
      </c>
      <c r="DY13">
        <v>1</v>
      </c>
      <c r="EA13" t="s">
        <v>112</v>
      </c>
      <c r="EB13">
        <v>1</v>
      </c>
      <c r="ED13" t="s">
        <v>112</v>
      </c>
      <c r="EE13">
        <v>1</v>
      </c>
      <c r="EG13" t="s">
        <v>227</v>
      </c>
      <c r="EH13">
        <v>1</v>
      </c>
      <c r="EI13" t="s">
        <v>119</v>
      </c>
      <c r="EM13" t="s">
        <v>113</v>
      </c>
      <c r="EN13">
        <v>1</v>
      </c>
      <c r="EP13" t="s">
        <v>113</v>
      </c>
      <c r="EQ13">
        <v>1</v>
      </c>
      <c r="ES13" t="s">
        <v>113</v>
      </c>
      <c r="ET13">
        <v>1</v>
      </c>
      <c r="EV13" t="s">
        <v>227</v>
      </c>
      <c r="EW13">
        <v>1</v>
      </c>
      <c r="EX13" t="s">
        <v>119</v>
      </c>
      <c r="FB13" t="s">
        <v>294</v>
      </c>
      <c r="FC13" s="17">
        <v>1</v>
      </c>
      <c r="FE13" t="s">
        <v>294</v>
      </c>
      <c r="FF13" s="17">
        <v>1</v>
      </c>
      <c r="FH13" t="s">
        <v>294</v>
      </c>
      <c r="FI13" s="17">
        <v>1</v>
      </c>
      <c r="FK13" t="s">
        <v>227</v>
      </c>
      <c r="FL13">
        <v>1</v>
      </c>
      <c r="FM13" t="s">
        <v>119</v>
      </c>
      <c r="FT13" t="s">
        <v>286</v>
      </c>
      <c r="FU13" s="17">
        <v>1</v>
      </c>
      <c r="FW13" t="s">
        <v>286</v>
      </c>
      <c r="FX13" s="17">
        <v>1</v>
      </c>
      <c r="FZ13" t="s">
        <v>227</v>
      </c>
      <c r="GA13">
        <v>1</v>
      </c>
      <c r="GB13" t="s">
        <v>119</v>
      </c>
      <c r="GF13" t="s">
        <v>278</v>
      </c>
      <c r="GG13">
        <v>1</v>
      </c>
      <c r="GI13" t="s">
        <v>278</v>
      </c>
      <c r="GJ13">
        <v>1</v>
      </c>
      <c r="GL13" t="s">
        <v>278</v>
      </c>
      <c r="GM13">
        <v>1</v>
      </c>
      <c r="GO13" t="s">
        <v>227</v>
      </c>
      <c r="GP13">
        <v>1</v>
      </c>
      <c r="GQ13" t="s">
        <v>119</v>
      </c>
      <c r="GU13" t="s">
        <v>283</v>
      </c>
      <c r="GV13">
        <v>1</v>
      </c>
      <c r="GX13" t="s">
        <v>283</v>
      </c>
      <c r="GY13">
        <v>1</v>
      </c>
      <c r="HA13" t="s">
        <v>283</v>
      </c>
      <c r="HB13">
        <v>1</v>
      </c>
      <c r="HD13" t="s">
        <v>391</v>
      </c>
      <c r="HE13" s="1">
        <v>10</v>
      </c>
    </row>
    <row r="14" spans="1:214" x14ac:dyDescent="0.2">
      <c r="A14" t="s">
        <v>445</v>
      </c>
      <c r="B14" s="410">
        <v>2.3899999999999998E-9</v>
      </c>
      <c r="C14" t="s">
        <v>449</v>
      </c>
      <c r="D14" t="s">
        <v>106</v>
      </c>
      <c r="E14">
        <v>24</v>
      </c>
      <c r="F14" t="s">
        <v>80</v>
      </c>
      <c r="G14" t="s">
        <v>455</v>
      </c>
      <c r="H14" s="1">
        <f>H5/(H9*(H22+H25)*H43)</f>
        <v>3.3479331116443621E-3</v>
      </c>
      <c r="I14" t="s">
        <v>22</v>
      </c>
      <c r="J14" t="s">
        <v>451</v>
      </c>
      <c r="K14" s="1">
        <f>(K5/(K6*K19*(1/K48)))*K11</f>
        <v>0.6419791733522674</v>
      </c>
      <c r="L14" t="s">
        <v>22</v>
      </c>
      <c r="M14" t="s">
        <v>114</v>
      </c>
      <c r="N14">
        <v>7.2999999999999995E-2</v>
      </c>
      <c r="O14" t="s">
        <v>115</v>
      </c>
      <c r="P14" t="s">
        <v>114</v>
      </c>
      <c r="Q14">
        <v>7.2999999999999995E-2</v>
      </c>
      <c r="R14" t="s">
        <v>115</v>
      </c>
      <c r="S14" t="s">
        <v>114</v>
      </c>
      <c r="T14">
        <v>7.2999999999999995E-2</v>
      </c>
      <c r="U14" t="s">
        <v>115</v>
      </c>
      <c r="V14" t="s">
        <v>445</v>
      </c>
      <c r="W14" s="1">
        <f>B14</f>
        <v>2.3899999999999998E-9</v>
      </c>
      <c r="X14" t="s">
        <v>107</v>
      </c>
      <c r="Y14" t="s">
        <v>445</v>
      </c>
      <c r="Z14" s="1">
        <f>B14</f>
        <v>2.3899999999999998E-9</v>
      </c>
      <c r="AA14" t="s">
        <v>107</v>
      </c>
      <c r="AB14" t="s">
        <v>116</v>
      </c>
      <c r="AF14">
        <v>8</v>
      </c>
      <c r="AG14">
        <v>8</v>
      </c>
      <c r="AH14" t="s">
        <v>80</v>
      </c>
      <c r="AI14" t="s">
        <v>114</v>
      </c>
      <c r="AJ14">
        <v>0</v>
      </c>
      <c r="AK14" t="s">
        <v>115</v>
      </c>
      <c r="AL14" t="s">
        <v>114</v>
      </c>
      <c r="AM14">
        <v>0</v>
      </c>
      <c r="AN14" t="s">
        <v>115</v>
      </c>
      <c r="AO14" t="s">
        <v>114</v>
      </c>
      <c r="AP14">
        <v>0</v>
      </c>
      <c r="AQ14" t="s">
        <v>115</v>
      </c>
      <c r="AR14" t="s">
        <v>114</v>
      </c>
      <c r="AS14">
        <f>8/24</f>
        <v>0.33333333333333331</v>
      </c>
      <c r="AT14" t="s">
        <v>115</v>
      </c>
      <c r="AU14" t="s">
        <v>114</v>
      </c>
      <c r="AV14">
        <f>8/24</f>
        <v>0.33333333333333331</v>
      </c>
      <c r="AW14" t="s">
        <v>115</v>
      </c>
      <c r="AX14" t="s">
        <v>116</v>
      </c>
      <c r="AY14">
        <f>8/24</f>
        <v>0.33333333333333331</v>
      </c>
      <c r="AZ14" t="s">
        <v>117</v>
      </c>
      <c r="BA14" t="s">
        <v>114</v>
      </c>
      <c r="BB14">
        <f>8/24</f>
        <v>0.33333333333333331</v>
      </c>
      <c r="BC14" t="s">
        <v>115</v>
      </c>
      <c r="BD14" t="s">
        <v>114</v>
      </c>
      <c r="BE14">
        <f>8/24</f>
        <v>0.33333333333333331</v>
      </c>
      <c r="BF14" t="s">
        <v>115</v>
      </c>
      <c r="BG14" t="s">
        <v>116</v>
      </c>
      <c r="BH14">
        <f>8/24</f>
        <v>0.33333333333333331</v>
      </c>
      <c r="BI14" t="s">
        <v>117</v>
      </c>
      <c r="BJ14" t="s">
        <v>105</v>
      </c>
      <c r="BK14">
        <v>0.753</v>
      </c>
      <c r="BM14" t="s">
        <v>105</v>
      </c>
      <c r="BN14">
        <v>0.74299999999999999</v>
      </c>
      <c r="BP14" t="s">
        <v>105</v>
      </c>
      <c r="BQ14">
        <v>0.66200000000000003</v>
      </c>
      <c r="BS14" t="s">
        <v>399</v>
      </c>
      <c r="BT14">
        <v>1</v>
      </c>
      <c r="BU14" t="s">
        <v>80</v>
      </c>
      <c r="BV14" t="s">
        <v>97</v>
      </c>
      <c r="BW14">
        <f>B38</f>
        <v>0.78</v>
      </c>
      <c r="BX14" t="s">
        <v>89</v>
      </c>
      <c r="BY14" t="s">
        <v>452</v>
      </c>
      <c r="BZ14" s="1">
        <f>(BZ5/(BZ7*BZ17*(1/BZ9)*BZ35))*BZ10</f>
        <v>1134540538.6578951</v>
      </c>
      <c r="CA14" t="s">
        <v>22</v>
      </c>
      <c r="CB14" t="s">
        <v>460</v>
      </c>
      <c r="CC14" s="1">
        <f>B9</f>
        <v>3.19</v>
      </c>
      <c r="CD14" t="s">
        <v>121</v>
      </c>
      <c r="CE14" t="s">
        <v>460</v>
      </c>
      <c r="CF14" s="1">
        <f>B11</f>
        <v>0.63600000000000001</v>
      </c>
      <c r="CG14" t="s">
        <v>121</v>
      </c>
      <c r="CH14" t="s">
        <v>460</v>
      </c>
      <c r="CI14" s="1">
        <f>B13</f>
        <v>2.83</v>
      </c>
      <c r="CJ14" t="s">
        <v>121</v>
      </c>
      <c r="CT14" t="s">
        <v>451</v>
      </c>
      <c r="CU14" s="1">
        <f>(CU5/(CU6*CU25*(1/CU48)))*CU11</f>
        <v>0.791392540198814</v>
      </c>
      <c r="CV14" t="s">
        <v>22</v>
      </c>
      <c r="CW14" t="s">
        <v>165</v>
      </c>
      <c r="CX14">
        <v>24</v>
      </c>
      <c r="CY14" t="s">
        <v>80</v>
      </c>
      <c r="CZ14" t="s">
        <v>452</v>
      </c>
      <c r="DA14" s="1">
        <f>DA5/(DA7*DA25*DA47)</f>
        <v>18.169429934135817</v>
      </c>
      <c r="DB14" t="s">
        <v>24</v>
      </c>
      <c r="DC14" t="s">
        <v>247</v>
      </c>
      <c r="DD14">
        <v>350</v>
      </c>
      <c r="DE14" t="s">
        <v>52</v>
      </c>
      <c r="DF14" t="s">
        <v>120</v>
      </c>
      <c r="DG14">
        <v>0.26</v>
      </c>
      <c r="DO14" t="s">
        <v>120</v>
      </c>
      <c r="DP14">
        <v>0.26</v>
      </c>
      <c r="DR14" t="s">
        <v>228</v>
      </c>
      <c r="DS14">
        <v>1</v>
      </c>
      <c r="DT14" t="s">
        <v>119</v>
      </c>
      <c r="ED14" t="s">
        <v>120</v>
      </c>
      <c r="EE14">
        <v>0.25</v>
      </c>
      <c r="EG14" t="s">
        <v>228</v>
      </c>
      <c r="EH14">
        <v>1</v>
      </c>
      <c r="EI14" t="s">
        <v>119</v>
      </c>
      <c r="ES14" t="s">
        <v>120</v>
      </c>
      <c r="ET14">
        <v>0.25</v>
      </c>
      <c r="EV14" t="s">
        <v>228</v>
      </c>
      <c r="EW14">
        <v>1</v>
      </c>
      <c r="EX14" t="s">
        <v>119</v>
      </c>
      <c r="FH14" t="s">
        <v>120</v>
      </c>
      <c r="FI14">
        <v>0.25</v>
      </c>
      <c r="FK14" t="s">
        <v>228</v>
      </c>
      <c r="FL14">
        <v>1</v>
      </c>
      <c r="FM14" t="s">
        <v>119</v>
      </c>
      <c r="FT14" t="s">
        <v>186</v>
      </c>
      <c r="FU14" s="1">
        <f>B22</f>
        <v>2000</v>
      </c>
      <c r="FW14" t="s">
        <v>120</v>
      </c>
      <c r="FX14">
        <v>0.25</v>
      </c>
      <c r="FZ14" t="s">
        <v>228</v>
      </c>
      <c r="GA14">
        <v>1</v>
      </c>
      <c r="GB14" t="s">
        <v>119</v>
      </c>
      <c r="GL14" t="s">
        <v>279</v>
      </c>
      <c r="GM14">
        <v>0.25</v>
      </c>
      <c r="GO14" t="s">
        <v>228</v>
      </c>
      <c r="GP14">
        <v>1</v>
      </c>
      <c r="GQ14" t="s">
        <v>119</v>
      </c>
      <c r="HA14" t="s">
        <v>120</v>
      </c>
      <c r="HB14">
        <v>0.25</v>
      </c>
      <c r="HD14" t="s">
        <v>118</v>
      </c>
      <c r="HE14">
        <v>8.1999999999999993</v>
      </c>
    </row>
    <row r="15" spans="1:214" ht="13.5" thickBot="1" x14ac:dyDescent="0.25">
      <c r="A15" t="s">
        <v>446</v>
      </c>
      <c r="B15" s="410">
        <v>6.4500000000000001E-6</v>
      </c>
      <c r="C15" t="s">
        <v>448</v>
      </c>
      <c r="E15">
        <v>24</v>
      </c>
      <c r="F15" t="s">
        <v>80</v>
      </c>
      <c r="G15" t="s">
        <v>81</v>
      </c>
      <c r="H15" s="3">
        <f>(H32*H29*H17*H70)+(H33*H30*H18*H71)</f>
        <v>736.07692307692309</v>
      </c>
      <c r="I15" t="s">
        <v>180</v>
      </c>
      <c r="J15" t="s">
        <v>452</v>
      </c>
      <c r="K15" s="1">
        <f>(K5/(K7*K20*(1/K10)*K47))*K11</f>
        <v>17176661.881854776</v>
      </c>
      <c r="L15" t="s">
        <v>22</v>
      </c>
      <c r="M15" t="s">
        <v>460</v>
      </c>
      <c r="N15" s="1">
        <f>B9</f>
        <v>3.19</v>
      </c>
      <c r="O15" t="s">
        <v>121</v>
      </c>
      <c r="P15" t="s">
        <v>460</v>
      </c>
      <c r="Q15" s="1">
        <f>B11</f>
        <v>0.63600000000000001</v>
      </c>
      <c r="R15" t="s">
        <v>121</v>
      </c>
      <c r="S15" t="s">
        <v>460</v>
      </c>
      <c r="T15" s="1">
        <f>B13</f>
        <v>2.83</v>
      </c>
      <c r="U15" t="s">
        <v>121</v>
      </c>
      <c r="V15" t="s">
        <v>464</v>
      </c>
      <c r="W15">
        <v>1</v>
      </c>
      <c r="Y15" t="s">
        <v>464</v>
      </c>
      <c r="Z15">
        <v>1</v>
      </c>
      <c r="AB15" t="s">
        <v>124</v>
      </c>
      <c r="AC15">
        <v>1</v>
      </c>
      <c r="AD15">
        <v>1</v>
      </c>
      <c r="AE15">
        <v>1</v>
      </c>
      <c r="AF15">
        <v>1</v>
      </c>
      <c r="AG15">
        <v>1</v>
      </c>
      <c r="AI15" t="s">
        <v>460</v>
      </c>
      <c r="AJ15" s="1">
        <f>B9</f>
        <v>3.19</v>
      </c>
      <c r="AK15" t="s">
        <v>121</v>
      </c>
      <c r="AL15" t="s">
        <v>460</v>
      </c>
      <c r="AM15" s="1">
        <f>B11</f>
        <v>0.63600000000000001</v>
      </c>
      <c r="AN15" t="s">
        <v>121</v>
      </c>
      <c r="AO15" t="s">
        <v>460</v>
      </c>
      <c r="AP15" s="1">
        <f>B13</f>
        <v>2.83</v>
      </c>
      <c r="AQ15" t="s">
        <v>121</v>
      </c>
      <c r="AR15" t="s">
        <v>460</v>
      </c>
      <c r="AS15" s="1">
        <f>B9</f>
        <v>3.19</v>
      </c>
      <c r="AT15" t="s">
        <v>121</v>
      </c>
      <c r="AU15" t="s">
        <v>460</v>
      </c>
      <c r="AV15" s="1">
        <f>B11</f>
        <v>0.63600000000000001</v>
      </c>
      <c r="AW15" t="s">
        <v>121</v>
      </c>
      <c r="AX15" t="s">
        <v>460</v>
      </c>
      <c r="AY15" s="1">
        <f>B13</f>
        <v>2.83</v>
      </c>
      <c r="AZ15" t="s">
        <v>121</v>
      </c>
      <c r="BA15" t="s">
        <v>460</v>
      </c>
      <c r="BB15" s="1">
        <f>B9</f>
        <v>3.19</v>
      </c>
      <c r="BC15" t="s">
        <v>121</v>
      </c>
      <c r="BD15" t="s">
        <v>460</v>
      </c>
      <c r="BE15" s="1">
        <f>B11</f>
        <v>0.63600000000000001</v>
      </c>
      <c r="BF15" t="s">
        <v>121</v>
      </c>
      <c r="BG15" t="s">
        <v>460</v>
      </c>
      <c r="BH15" s="1">
        <f>B13</f>
        <v>2.83</v>
      </c>
      <c r="BI15" t="s">
        <v>121</v>
      </c>
      <c r="BJ15" t="s">
        <v>114</v>
      </c>
      <c r="BK15">
        <f>8/24</f>
        <v>0.33333333333333331</v>
      </c>
      <c r="BL15" t="s">
        <v>115</v>
      </c>
      <c r="BM15" t="s">
        <v>114</v>
      </c>
      <c r="BN15">
        <f>8/24</f>
        <v>0.33333333333333331</v>
      </c>
      <c r="BO15" t="s">
        <v>115</v>
      </c>
      <c r="BP15" t="s">
        <v>116</v>
      </c>
      <c r="BQ15">
        <f>8/24</f>
        <v>0.33333333333333331</v>
      </c>
      <c r="BR15" t="s">
        <v>117</v>
      </c>
      <c r="BS15" t="s">
        <v>398</v>
      </c>
      <c r="BT15">
        <v>1</v>
      </c>
      <c r="BU15" t="s">
        <v>80</v>
      </c>
      <c r="BV15" t="s">
        <v>123</v>
      </c>
      <c r="BW15">
        <f>B39</f>
        <v>2.5</v>
      </c>
      <c r="BX15" t="s">
        <v>89</v>
      </c>
      <c r="BY15" t="s">
        <v>453</v>
      </c>
      <c r="BZ15" s="1">
        <f>((BZ5)/(BZ8*BZ22*(1/BZ34)*BZ25*BZ28*(1/24)*BZ31*BZ32))*BZ10</f>
        <v>268380.42187111697</v>
      </c>
      <c r="CA15" t="s">
        <v>22</v>
      </c>
      <c r="CT15" t="s">
        <v>452</v>
      </c>
      <c r="CU15" s="1">
        <f>(CU5/(CU7*CU26*(1/CU10)*CU47))*CU11</f>
        <v>18920985.159405667</v>
      </c>
      <c r="CV15" t="s">
        <v>22</v>
      </c>
      <c r="CW15" t="s">
        <v>163</v>
      </c>
      <c r="CX15">
        <v>24</v>
      </c>
      <c r="CY15" t="s">
        <v>80</v>
      </c>
      <c r="CZ15" t="s">
        <v>457</v>
      </c>
      <c r="DA15" s="1">
        <f>DA5/(DA8*DA26*(DA48/DA49))</f>
        <v>5668953.5005059838</v>
      </c>
      <c r="DB15" t="s">
        <v>24</v>
      </c>
      <c r="DC15" t="s">
        <v>246</v>
      </c>
      <c r="DD15">
        <v>350</v>
      </c>
      <c r="DE15" t="s">
        <v>52</v>
      </c>
      <c r="DF15" t="s">
        <v>125</v>
      </c>
      <c r="DG15">
        <v>0.42</v>
      </c>
      <c r="DH15" t="s">
        <v>75</v>
      </c>
      <c r="DO15" t="s">
        <v>125</v>
      </c>
      <c r="DP15">
        <v>0.42</v>
      </c>
      <c r="DQ15" t="s">
        <v>75</v>
      </c>
      <c r="DR15" t="s">
        <v>229</v>
      </c>
      <c r="DS15">
        <v>1</v>
      </c>
      <c r="DT15" t="s">
        <v>119</v>
      </c>
      <c r="ED15" t="s">
        <v>55</v>
      </c>
      <c r="EE15">
        <v>92</v>
      </c>
      <c r="EF15" t="s">
        <v>56</v>
      </c>
      <c r="EG15" t="s">
        <v>229</v>
      </c>
      <c r="EH15">
        <v>1</v>
      </c>
      <c r="EI15" t="s">
        <v>119</v>
      </c>
      <c r="ES15" t="s">
        <v>57</v>
      </c>
      <c r="ET15">
        <v>53</v>
      </c>
      <c r="EU15" t="s">
        <v>56</v>
      </c>
      <c r="EV15" t="s">
        <v>229</v>
      </c>
      <c r="EW15">
        <v>1</v>
      </c>
      <c r="EX15" t="s">
        <v>119</v>
      </c>
      <c r="FH15" t="s">
        <v>271</v>
      </c>
      <c r="FI15">
        <v>0.4</v>
      </c>
      <c r="FJ15" t="s">
        <v>56</v>
      </c>
      <c r="FK15" t="s">
        <v>229</v>
      </c>
      <c r="FL15">
        <v>1</v>
      </c>
      <c r="FM15" t="s">
        <v>119</v>
      </c>
      <c r="FT15" t="s">
        <v>296</v>
      </c>
      <c r="FU15" s="1">
        <v>8.1999999999999993</v>
      </c>
      <c r="FW15" t="s">
        <v>274</v>
      </c>
      <c r="FX15" s="17">
        <v>1</v>
      </c>
      <c r="FY15" t="s">
        <v>56</v>
      </c>
      <c r="FZ15" t="s">
        <v>229</v>
      </c>
      <c r="GA15">
        <v>1</v>
      </c>
      <c r="GB15" t="s">
        <v>119</v>
      </c>
      <c r="GL15" t="s">
        <v>272</v>
      </c>
      <c r="GM15">
        <v>0.4</v>
      </c>
      <c r="GN15" t="s">
        <v>56</v>
      </c>
      <c r="GO15" t="s">
        <v>229</v>
      </c>
      <c r="GP15">
        <v>1</v>
      </c>
      <c r="GQ15" t="s">
        <v>119</v>
      </c>
      <c r="HA15" t="s">
        <v>273</v>
      </c>
      <c r="HB15">
        <v>11.4</v>
      </c>
      <c r="HC15" t="s">
        <v>56</v>
      </c>
    </row>
    <row r="16" spans="1:214" ht="13.5" thickTop="1" x14ac:dyDescent="0.2">
      <c r="A16" t="s">
        <v>447</v>
      </c>
      <c r="B16" s="410">
        <v>4.8099999999999997E-2</v>
      </c>
      <c r="C16" t="s">
        <v>448</v>
      </c>
      <c r="D16" t="s">
        <v>122</v>
      </c>
      <c r="E16">
        <v>1</v>
      </c>
      <c r="F16" t="s">
        <v>59</v>
      </c>
      <c r="G16" t="s">
        <v>77</v>
      </c>
      <c r="H16" s="426">
        <f>(H29*H19*H32*H70)+(H30*H20*H33*H71)</f>
        <v>6192.3076923076924</v>
      </c>
      <c r="I16" t="s">
        <v>407</v>
      </c>
      <c r="J16" t="s">
        <v>453</v>
      </c>
      <c r="K16" s="1">
        <f>(K5/(K8*K44*((K39*K43*(1/K37))+(K40*K42*(1/K37)))*K32*(1/K46)*K33))*K11</f>
        <v>1.2546317363113406</v>
      </c>
      <c r="L16" t="s">
        <v>22</v>
      </c>
      <c r="M16" t="s">
        <v>136</v>
      </c>
      <c r="N16">
        <v>0.68300000000000005</v>
      </c>
      <c r="O16" t="s">
        <v>115</v>
      </c>
      <c r="P16" t="s">
        <v>136</v>
      </c>
      <c r="Q16">
        <v>0.68300000000000005</v>
      </c>
      <c r="R16" t="s">
        <v>115</v>
      </c>
      <c r="S16" t="s">
        <v>136</v>
      </c>
      <c r="T16">
        <v>0.68300000000000005</v>
      </c>
      <c r="U16" t="s">
        <v>115</v>
      </c>
      <c r="V16" t="s">
        <v>452</v>
      </c>
      <c r="W16" s="1">
        <f>(W5)/((W11/W12)*W8*W9*W10*W13)</f>
        <v>13.071895424836599</v>
      </c>
      <c r="X16" t="s">
        <v>36</v>
      </c>
      <c r="Y16" t="s">
        <v>452</v>
      </c>
      <c r="Z16" s="1">
        <f>(Z5)/((Z11/Z12)*Z8*Z9*Z10*Z13)</f>
        <v>11.764705882352942</v>
      </c>
      <c r="AA16" t="s">
        <v>36</v>
      </c>
      <c r="AB16" t="s">
        <v>128</v>
      </c>
      <c r="AC16">
        <v>100</v>
      </c>
      <c r="AD16">
        <v>50</v>
      </c>
      <c r="AE16">
        <v>100</v>
      </c>
      <c r="AF16">
        <v>330</v>
      </c>
      <c r="AG16">
        <v>330</v>
      </c>
      <c r="AI16" t="s">
        <v>136</v>
      </c>
      <c r="AJ16">
        <f>8/24</f>
        <v>0.33333333333333331</v>
      </c>
      <c r="AK16" t="s">
        <v>115</v>
      </c>
      <c r="AL16" t="s">
        <v>136</v>
      </c>
      <c r="AM16">
        <f>8/24</f>
        <v>0.33333333333333331</v>
      </c>
      <c r="AN16" t="s">
        <v>115</v>
      </c>
      <c r="AO16" t="s">
        <v>136</v>
      </c>
      <c r="AP16">
        <f>8/24</f>
        <v>0.33333333333333331</v>
      </c>
      <c r="AQ16" t="s">
        <v>115</v>
      </c>
      <c r="AR16" t="s">
        <v>136</v>
      </c>
      <c r="AS16">
        <v>0</v>
      </c>
      <c r="AT16" t="s">
        <v>115</v>
      </c>
      <c r="AU16" t="s">
        <v>136</v>
      </c>
      <c r="AV16">
        <v>0</v>
      </c>
      <c r="AW16" t="s">
        <v>115</v>
      </c>
      <c r="AX16" t="s">
        <v>136</v>
      </c>
      <c r="AY16">
        <v>0</v>
      </c>
      <c r="AZ16" t="s">
        <v>115</v>
      </c>
      <c r="BA16" t="s">
        <v>136</v>
      </c>
      <c r="BB16">
        <v>0</v>
      </c>
      <c r="BC16" t="s">
        <v>115</v>
      </c>
      <c r="BD16" t="s">
        <v>136</v>
      </c>
      <c r="BE16">
        <v>0</v>
      </c>
      <c r="BF16" t="s">
        <v>115</v>
      </c>
      <c r="BG16" t="s">
        <v>136</v>
      </c>
      <c r="BH16">
        <v>0</v>
      </c>
      <c r="BI16" t="s">
        <v>115</v>
      </c>
      <c r="BJ16" t="s">
        <v>460</v>
      </c>
      <c r="BK16" s="1">
        <f>B9</f>
        <v>3.19</v>
      </c>
      <c r="BL16" t="s">
        <v>121</v>
      </c>
      <c r="BM16" t="s">
        <v>460</v>
      </c>
      <c r="BN16" s="1">
        <f>B11</f>
        <v>0.63600000000000001</v>
      </c>
      <c r="BO16" t="s">
        <v>121</v>
      </c>
      <c r="BP16" t="s">
        <v>460</v>
      </c>
      <c r="BQ16" s="1">
        <f>B13</f>
        <v>2.83</v>
      </c>
      <c r="BR16" t="s">
        <v>121</v>
      </c>
      <c r="BS16" t="s">
        <v>166</v>
      </c>
      <c r="BT16">
        <v>1</v>
      </c>
      <c r="BU16" t="s">
        <v>80</v>
      </c>
      <c r="BV16" t="s">
        <v>240</v>
      </c>
      <c r="BW16" s="427">
        <f>((BW18*BW21*BW23*BW26*BW33)+(BW19*BW22*BW24*BW27*BW34))</f>
        <v>90</v>
      </c>
      <c r="BX16" t="s">
        <v>408</v>
      </c>
      <c r="BY16" t="s">
        <v>82</v>
      </c>
      <c r="BZ16" s="427">
        <f>(BZ18*BZ22*BZ27*BZ37)+(BZ19*BZ23*BZ26*BZ38)</f>
        <v>22500</v>
      </c>
      <c r="CA16" t="s">
        <v>406</v>
      </c>
      <c r="CB16" s="403" t="s">
        <v>8</v>
      </c>
      <c r="CC16" s="76" t="s">
        <v>394</v>
      </c>
      <c r="CD16" s="77" t="s">
        <v>15</v>
      </c>
      <c r="CE16" s="230" t="s">
        <v>8</v>
      </c>
      <c r="CF16" s="76" t="s">
        <v>183</v>
      </c>
      <c r="CG16" s="77" t="s">
        <v>15</v>
      </c>
      <c r="CK16" s="394" t="s">
        <v>8</v>
      </c>
      <c r="CL16" s="395" t="s">
        <v>302</v>
      </c>
      <c r="CM16" s="396" t="s">
        <v>15</v>
      </c>
      <c r="CN16" s="76" t="s">
        <v>8</v>
      </c>
      <c r="CO16" s="76" t="s">
        <v>302</v>
      </c>
      <c r="CP16" s="77" t="s">
        <v>15</v>
      </c>
      <c r="CQ16" s="230" t="s">
        <v>8</v>
      </c>
      <c r="CR16" s="76" t="s">
        <v>302</v>
      </c>
      <c r="CS16" s="77" t="s">
        <v>15</v>
      </c>
      <c r="CT16" t="s">
        <v>453</v>
      </c>
      <c r="CU16" s="1">
        <f>(CU5/(CU8*CU44*((CU39*CU43*(1/CU37))+(CU40*CU42*(1/CU37)))*CU32*(1/CU46)*CU33))*CU11</f>
        <v>0.74337173443840021</v>
      </c>
      <c r="CV16" t="s">
        <v>22</v>
      </c>
      <c r="CW16" t="s">
        <v>122</v>
      </c>
      <c r="CX16">
        <v>1</v>
      </c>
      <c r="CY16" t="s">
        <v>59</v>
      </c>
      <c r="CZ16" t="s">
        <v>476</v>
      </c>
      <c r="DA16" s="1">
        <f>DG3</f>
        <v>6.9656488584855625E-2</v>
      </c>
      <c r="DB16" t="s">
        <v>24</v>
      </c>
      <c r="DC16" t="s">
        <v>227</v>
      </c>
      <c r="DD16">
        <v>1</v>
      </c>
      <c r="DE16" t="s">
        <v>119</v>
      </c>
      <c r="DF16" t="s">
        <v>129</v>
      </c>
      <c r="DG16">
        <f>DG20+(0.693/DG22)</f>
        <v>4.9562999999999996E-2</v>
      </c>
      <c r="DH16" t="s">
        <v>130</v>
      </c>
      <c r="DO16" t="s">
        <v>129</v>
      </c>
      <c r="DP16">
        <f>DP20+(0.693/DP22)</f>
        <v>4.9499999999999995E-2</v>
      </c>
      <c r="DQ16" t="s">
        <v>130</v>
      </c>
      <c r="DS16">
        <v>1000</v>
      </c>
      <c r="DT16" t="s">
        <v>179</v>
      </c>
      <c r="ED16" t="s">
        <v>129</v>
      </c>
      <c r="EE16">
        <f>EE20+(0.693/EE22)</f>
        <v>4.9499999999999995E-2</v>
      </c>
      <c r="EF16" t="s">
        <v>130</v>
      </c>
      <c r="EH16">
        <v>1000</v>
      </c>
      <c r="EI16" t="s">
        <v>179</v>
      </c>
      <c r="ES16" t="s">
        <v>129</v>
      </c>
      <c r="ET16">
        <f>ET20+(0.693/ET22)</f>
        <v>4.9499999999999995E-2</v>
      </c>
      <c r="EU16" t="s">
        <v>130</v>
      </c>
      <c r="EW16" s="15">
        <v>1000</v>
      </c>
      <c r="EX16" t="s">
        <v>179</v>
      </c>
      <c r="FH16" t="s">
        <v>129</v>
      </c>
      <c r="FI16">
        <v>4.9499999999999995E-2</v>
      </c>
      <c r="FJ16" t="s">
        <v>130</v>
      </c>
      <c r="FL16">
        <v>1000</v>
      </c>
      <c r="FM16" t="s">
        <v>179</v>
      </c>
      <c r="FW16" t="s">
        <v>129</v>
      </c>
      <c r="FX16">
        <f>FX20+(0.693/FX22)</f>
        <v>4.9499999999999995E-2</v>
      </c>
      <c r="FY16" t="s">
        <v>130</v>
      </c>
      <c r="GA16">
        <v>1000</v>
      </c>
      <c r="GB16" t="s">
        <v>179</v>
      </c>
      <c r="GL16" t="s">
        <v>129</v>
      </c>
      <c r="GM16">
        <f>GM20+(0.693/GM22)</f>
        <v>4.9499999999999995E-2</v>
      </c>
      <c r="GN16" t="s">
        <v>130</v>
      </c>
      <c r="GO16" t="s">
        <v>270</v>
      </c>
      <c r="GP16">
        <v>1</v>
      </c>
      <c r="HA16" t="s">
        <v>129</v>
      </c>
      <c r="HB16">
        <f>HB20+(0.693/HB22)</f>
        <v>4.9499999999999995E-2</v>
      </c>
      <c r="HC16" t="s">
        <v>130</v>
      </c>
    </row>
    <row r="17" spans="1:214" ht="13.5" thickBot="1" x14ac:dyDescent="0.25">
      <c r="A17" t="s">
        <v>411</v>
      </c>
      <c r="B17" s="410">
        <v>30</v>
      </c>
      <c r="C17" t="s">
        <v>417</v>
      </c>
      <c r="D17" t="s">
        <v>126</v>
      </c>
      <c r="E17">
        <v>1</v>
      </c>
      <c r="F17" t="s">
        <v>59</v>
      </c>
      <c r="G17" t="s">
        <v>97</v>
      </c>
      <c r="H17">
        <f>B38</f>
        <v>0.78</v>
      </c>
      <c r="J17" t="s">
        <v>454</v>
      </c>
      <c r="K17" s="1">
        <f>K18/(K49+K50)</f>
        <v>1.1544596936704695E-2</v>
      </c>
      <c r="L17" t="s">
        <v>22</v>
      </c>
      <c r="V17" t="s">
        <v>477</v>
      </c>
      <c r="W17" s="1">
        <f>(W5)/((W11/W12)*W8*W9*W14*(1/365))</f>
        <v>2036262203.6262202</v>
      </c>
      <c r="X17" t="s">
        <v>36</v>
      </c>
      <c r="Y17" t="s">
        <v>477</v>
      </c>
      <c r="Z17" s="1">
        <f>(Z5)/((Z11/Z12)*Z8*Z9*Z14*(1/365))</f>
        <v>1832635983.2635987</v>
      </c>
      <c r="AA17" t="s">
        <v>36</v>
      </c>
      <c r="BS17" t="s">
        <v>122</v>
      </c>
      <c r="BT17">
        <v>1</v>
      </c>
      <c r="BU17" t="s">
        <v>59</v>
      </c>
      <c r="BV17" t="s">
        <v>131</v>
      </c>
      <c r="BW17">
        <v>0.5</v>
      </c>
      <c r="BX17" t="s">
        <v>132</v>
      </c>
      <c r="BY17" t="s">
        <v>77</v>
      </c>
      <c r="BZ17" s="427">
        <f>(BZ27*BZ24*BZ20*(BZ29/24)*BZ37)+(BZ26*BZ23*BZ21*(BZ30/24)*BZ38)</f>
        <v>93.75</v>
      </c>
      <c r="CA17" t="s">
        <v>407</v>
      </c>
      <c r="CB17" s="404" t="s">
        <v>32</v>
      </c>
      <c r="CC17" s="78" t="s">
        <v>13</v>
      </c>
      <c r="CD17" s="79" t="s">
        <v>22</v>
      </c>
      <c r="CE17" s="231" t="s">
        <v>32</v>
      </c>
      <c r="CF17" s="78" t="s">
        <v>13</v>
      </c>
      <c r="CG17" s="79" t="s">
        <v>22</v>
      </c>
      <c r="CK17" s="397" t="s">
        <v>303</v>
      </c>
      <c r="CL17" s="78"/>
      <c r="CM17" s="398" t="s">
        <v>22</v>
      </c>
      <c r="CN17" s="78" t="s">
        <v>11</v>
      </c>
      <c r="CO17" s="78"/>
      <c r="CP17" s="79" t="s">
        <v>22</v>
      </c>
      <c r="CQ17" s="231" t="s">
        <v>10</v>
      </c>
      <c r="CR17" s="78"/>
      <c r="CS17" s="79" t="s">
        <v>22</v>
      </c>
      <c r="CT17" t="s">
        <v>454</v>
      </c>
      <c r="CU17" s="1">
        <f>DJ3</f>
        <v>2.7031051274785563E-3</v>
      </c>
      <c r="CV17" t="s">
        <v>22</v>
      </c>
      <c r="CW17" t="s">
        <v>126</v>
      </c>
      <c r="CX17">
        <v>1</v>
      </c>
      <c r="CY17" t="s">
        <v>59</v>
      </c>
      <c r="CZ17" t="s">
        <v>478</v>
      </c>
      <c r="DA17" s="1">
        <f>DD3</f>
        <v>7.8390048696878141E-4</v>
      </c>
      <c r="DB17" t="s">
        <v>22</v>
      </c>
      <c r="DC17" t="s">
        <v>228</v>
      </c>
      <c r="DD17">
        <v>1</v>
      </c>
      <c r="DE17" t="s">
        <v>119</v>
      </c>
      <c r="DF17" t="s">
        <v>133</v>
      </c>
      <c r="DG17">
        <v>60</v>
      </c>
      <c r="DH17" t="s">
        <v>102</v>
      </c>
      <c r="DO17" t="s">
        <v>133</v>
      </c>
      <c r="DP17">
        <v>60</v>
      </c>
      <c r="DQ17" t="s">
        <v>102</v>
      </c>
      <c r="DR17" t="s">
        <v>256</v>
      </c>
      <c r="DS17">
        <v>1</v>
      </c>
      <c r="ED17" t="s">
        <v>133</v>
      </c>
      <c r="EE17">
        <v>60</v>
      </c>
      <c r="EF17" t="s">
        <v>102</v>
      </c>
      <c r="EG17" t="s">
        <v>259</v>
      </c>
      <c r="EH17">
        <v>1</v>
      </c>
      <c r="ES17" t="s">
        <v>133</v>
      </c>
      <c r="ET17">
        <v>60</v>
      </c>
      <c r="EU17" t="s">
        <v>102</v>
      </c>
      <c r="EV17" t="s">
        <v>264</v>
      </c>
      <c r="EW17">
        <v>1</v>
      </c>
      <c r="FH17" t="s">
        <v>133</v>
      </c>
      <c r="FI17">
        <v>60</v>
      </c>
      <c r="FJ17" t="s">
        <v>102</v>
      </c>
      <c r="FK17" t="s">
        <v>265</v>
      </c>
      <c r="FL17">
        <v>1</v>
      </c>
      <c r="FW17" t="s">
        <v>133</v>
      </c>
      <c r="FX17">
        <v>60</v>
      </c>
      <c r="FY17" t="s">
        <v>102</v>
      </c>
      <c r="FZ17" t="s">
        <v>139</v>
      </c>
      <c r="GA17">
        <v>1</v>
      </c>
      <c r="GL17" t="s">
        <v>133</v>
      </c>
      <c r="GM17">
        <v>60</v>
      </c>
      <c r="GN17" t="s">
        <v>102</v>
      </c>
      <c r="GP17">
        <v>365</v>
      </c>
      <c r="GQ17" t="s">
        <v>52</v>
      </c>
      <c r="HA17" t="s">
        <v>133</v>
      </c>
      <c r="HB17">
        <v>60</v>
      </c>
      <c r="HC17" t="s">
        <v>102</v>
      </c>
    </row>
    <row r="18" spans="1:214" ht="13.5" thickTop="1" x14ac:dyDescent="0.2">
      <c r="A18" t="s">
        <v>148</v>
      </c>
      <c r="B18" s="410">
        <f>PEF!D3</f>
        <v>1359344473.5814338</v>
      </c>
      <c r="D18" t="s">
        <v>445</v>
      </c>
      <c r="E18" s="1">
        <f>B14</f>
        <v>2.3899999999999998E-9</v>
      </c>
      <c r="F18" t="s">
        <v>107</v>
      </c>
      <c r="G18" t="s">
        <v>123</v>
      </c>
      <c r="H18">
        <f>B39</f>
        <v>2.5</v>
      </c>
      <c r="J18" t="s">
        <v>455</v>
      </c>
      <c r="K18" s="1">
        <f>K5/(K9*(K25+K28)*K38)</f>
        <v>3.3479331116443621E-3</v>
      </c>
      <c r="L18" t="s">
        <v>22</v>
      </c>
      <c r="M18" s="117" t="s">
        <v>13</v>
      </c>
      <c r="N18" s="118" t="s">
        <v>142</v>
      </c>
      <c r="O18" s="118" t="s">
        <v>15</v>
      </c>
      <c r="P18" s="252" t="s">
        <v>13</v>
      </c>
      <c r="Q18" s="118" t="s">
        <v>183</v>
      </c>
      <c r="R18" s="119" t="s">
        <v>15</v>
      </c>
      <c r="V18" t="s">
        <v>452</v>
      </c>
      <c r="W18" s="1">
        <f>(W5*W6*W9)/((W11/W12)*(1-EXP(-W6*W9))*W10*W13*W8*W9)</f>
        <v>13.22345708633379</v>
      </c>
      <c r="X18" t="s">
        <v>37</v>
      </c>
      <c r="Y18" t="s">
        <v>452</v>
      </c>
      <c r="Z18" s="1">
        <f>(Z5*Z6*Z9)/((Z11/Z12)*(1-EXP(-Z6*Z9))*Z10*Z13*Z8*Z9)</f>
        <v>11.901111377700412</v>
      </c>
      <c r="AA18" t="s">
        <v>37</v>
      </c>
      <c r="AI18" s="133" t="s">
        <v>13</v>
      </c>
      <c r="AJ18" s="134" t="s">
        <v>142</v>
      </c>
      <c r="AK18" s="134" t="s">
        <v>15</v>
      </c>
      <c r="AL18" s="233" t="s">
        <v>13</v>
      </c>
      <c r="AM18" s="134" t="s">
        <v>183</v>
      </c>
      <c r="AN18" s="135" t="s">
        <v>15</v>
      </c>
      <c r="AR18" s="141" t="s">
        <v>13</v>
      </c>
      <c r="AS18" s="142" t="s">
        <v>142</v>
      </c>
      <c r="AT18" s="142" t="s">
        <v>15</v>
      </c>
      <c r="AU18" s="236" t="s">
        <v>13</v>
      </c>
      <c r="AV18" s="142" t="s">
        <v>183</v>
      </c>
      <c r="AW18" s="143" t="s">
        <v>15</v>
      </c>
      <c r="BA18" s="141" t="s">
        <v>13</v>
      </c>
      <c r="BB18" s="142" t="s">
        <v>142</v>
      </c>
      <c r="BC18" s="142" t="s">
        <v>15</v>
      </c>
      <c r="BD18" s="236" t="s">
        <v>13</v>
      </c>
      <c r="BE18" s="142" t="s">
        <v>183</v>
      </c>
      <c r="BF18" s="143" t="s">
        <v>15</v>
      </c>
      <c r="BJ18" s="141" t="s">
        <v>13</v>
      </c>
      <c r="BK18" s="142" t="s">
        <v>142</v>
      </c>
      <c r="BL18" s="142" t="s">
        <v>15</v>
      </c>
      <c r="BM18" s="236" t="s">
        <v>13</v>
      </c>
      <c r="BN18" s="142" t="s">
        <v>183</v>
      </c>
      <c r="BO18" s="143" t="s">
        <v>15</v>
      </c>
      <c r="BS18" t="s">
        <v>126</v>
      </c>
      <c r="BT18">
        <v>1</v>
      </c>
      <c r="BU18" t="s">
        <v>59</v>
      </c>
      <c r="BV18" t="s">
        <v>403</v>
      </c>
      <c r="BW18">
        <v>45</v>
      </c>
      <c r="BX18" t="s">
        <v>52</v>
      </c>
      <c r="BY18" t="s">
        <v>108</v>
      </c>
      <c r="BZ18">
        <f>B36</f>
        <v>200</v>
      </c>
      <c r="CA18" t="s">
        <v>90</v>
      </c>
      <c r="CB18" s="404" t="s">
        <v>475</v>
      </c>
      <c r="CC18" s="80">
        <f>(CC20*CC21*CC22)/((1-EXP(-CC22*CC21))*CC25*CC29*(CC24/365)*CC27*(CC28/24)*CC26)</f>
        <v>19534.755082573345</v>
      </c>
      <c r="CD18" s="79"/>
      <c r="CE18" s="231" t="s">
        <v>475</v>
      </c>
      <c r="CF18" s="80">
        <f>(CF20*CF21*CF22)/((1-EXP(-CF22*CF21))*CF25*CF29*(CF24/365)*CF27*(CF28/24)*CF26)</f>
        <v>2346.9714062522626</v>
      </c>
      <c r="CG18" s="79"/>
      <c r="CK18" s="397" t="s">
        <v>456</v>
      </c>
      <c r="CL18" s="80">
        <f>CL20/(CL21*CL22*CL23*CL24)</f>
        <v>0.27720027720027718</v>
      </c>
      <c r="CM18" s="398"/>
      <c r="CN18" s="78" t="s">
        <v>456</v>
      </c>
      <c r="CO18" s="80">
        <f>CL18/(CO20*((CO25*CO27*CO28*(CO21+CO22))+(CO26*CO27)))</f>
        <v>6.3724201655236135</v>
      </c>
      <c r="CP18" s="79"/>
      <c r="CQ18" s="231" t="s">
        <v>456</v>
      </c>
      <c r="CR18" s="80">
        <f>CL18/(CR20*CR21*(1/CR22))</f>
        <v>9240.0092400092399</v>
      </c>
      <c r="CS18" s="79"/>
      <c r="CT18" t="s">
        <v>455</v>
      </c>
      <c r="CU18" s="1">
        <f>DD3</f>
        <v>7.8390048696878141E-4</v>
      </c>
      <c r="CV18" t="s">
        <v>22</v>
      </c>
      <c r="CW18" t="s">
        <v>445</v>
      </c>
      <c r="CX18" s="1">
        <f>B14</f>
        <v>2.3899999999999998E-9</v>
      </c>
      <c r="CY18" t="s">
        <v>107</v>
      </c>
      <c r="CZ18" t="s">
        <v>479</v>
      </c>
      <c r="DA18" s="1">
        <f>EZ3</f>
        <v>10.415556149606878</v>
      </c>
      <c r="DC18" t="s">
        <v>229</v>
      </c>
      <c r="DD18">
        <v>1</v>
      </c>
      <c r="DE18" t="s">
        <v>119</v>
      </c>
      <c r="DF18" t="s">
        <v>135</v>
      </c>
      <c r="DG18">
        <v>2</v>
      </c>
      <c r="DH18" t="s">
        <v>111</v>
      </c>
      <c r="DO18" t="s">
        <v>135</v>
      </c>
      <c r="DP18">
        <v>2</v>
      </c>
      <c r="DQ18" t="s">
        <v>111</v>
      </c>
      <c r="DS18">
        <v>365</v>
      </c>
      <c r="DT18" t="s">
        <v>52</v>
      </c>
      <c r="ED18" t="s">
        <v>135</v>
      </c>
      <c r="EE18">
        <v>2</v>
      </c>
      <c r="EF18" t="s">
        <v>111</v>
      </c>
      <c r="EH18">
        <v>365</v>
      </c>
      <c r="EI18" t="s">
        <v>245</v>
      </c>
      <c r="ES18" t="s">
        <v>135</v>
      </c>
      <c r="ET18">
        <v>2</v>
      </c>
      <c r="EU18" t="s">
        <v>111</v>
      </c>
      <c r="EW18">
        <v>365</v>
      </c>
      <c r="EX18" t="s">
        <v>52</v>
      </c>
      <c r="FH18" t="s">
        <v>135</v>
      </c>
      <c r="FI18">
        <v>2</v>
      </c>
      <c r="FJ18" t="s">
        <v>111</v>
      </c>
      <c r="FL18">
        <v>365</v>
      </c>
      <c r="FM18" t="s">
        <v>52</v>
      </c>
      <c r="FW18" t="s">
        <v>135</v>
      </c>
      <c r="FX18">
        <v>2</v>
      </c>
      <c r="FY18" t="s">
        <v>111</v>
      </c>
      <c r="GA18">
        <v>365</v>
      </c>
      <c r="GB18" t="s">
        <v>52</v>
      </c>
      <c r="GL18" t="s">
        <v>135</v>
      </c>
      <c r="GM18">
        <v>2</v>
      </c>
      <c r="GN18" t="s">
        <v>111</v>
      </c>
      <c r="GO18" t="s">
        <v>433</v>
      </c>
      <c r="GP18" s="1">
        <f>B49</f>
        <v>0.15</v>
      </c>
      <c r="HA18" t="s">
        <v>135</v>
      </c>
      <c r="HB18">
        <v>2</v>
      </c>
      <c r="HC18" t="s">
        <v>111</v>
      </c>
    </row>
    <row r="19" spans="1:214" ht="13.5" thickBot="1" x14ac:dyDescent="0.25">
      <c r="A19" t="s">
        <v>184</v>
      </c>
      <c r="B19" s="410">
        <f>PEF!G3</f>
        <v>776129.4078035407</v>
      </c>
      <c r="D19" t="s">
        <v>464</v>
      </c>
      <c r="E19">
        <v>1</v>
      </c>
      <c r="G19" t="s">
        <v>223</v>
      </c>
      <c r="H19">
        <f>B33</f>
        <v>10</v>
      </c>
      <c r="J19" t="s">
        <v>82</v>
      </c>
      <c r="K19" s="428">
        <f>K21*K31*K35*K53+K22*K32*K34*K54</f>
        <v>43076.923076923078</v>
      </c>
      <c r="L19" t="s">
        <v>406</v>
      </c>
      <c r="M19" s="120" t="s">
        <v>32</v>
      </c>
      <c r="N19" s="121" t="s">
        <v>33</v>
      </c>
      <c r="O19" s="131" t="s">
        <v>146</v>
      </c>
      <c r="P19" s="253" t="s">
        <v>32</v>
      </c>
      <c r="Q19" s="121" t="s">
        <v>33</v>
      </c>
      <c r="R19" s="122" t="s">
        <v>22</v>
      </c>
      <c r="V19" t="s">
        <v>477</v>
      </c>
      <c r="W19" s="1">
        <f>(W5*W6*W9)/((W11/W12)*(1-EXP(-W6*W9))*W14*W8*W9*(1/365))</f>
        <v>2059871578.762372</v>
      </c>
      <c r="X19" t="s">
        <v>37</v>
      </c>
      <c r="Y19" t="s">
        <v>477</v>
      </c>
      <c r="Z19" s="1">
        <f>(Z5*Z6*Z9)/((Z11/Z12)*(1-EXP(-Z6*Z9))*Z14*Z8*Z9*(1/365))</f>
        <v>1853884420.8861349</v>
      </c>
      <c r="AA19" t="s">
        <v>37</v>
      </c>
      <c r="AB19" t="s">
        <v>463</v>
      </c>
      <c r="AC19">
        <v>1</v>
      </c>
      <c r="AD19">
        <v>1</v>
      </c>
      <c r="AE19">
        <v>1</v>
      </c>
      <c r="AF19">
        <v>1</v>
      </c>
      <c r="AG19">
        <v>1</v>
      </c>
      <c r="AI19" s="136" t="s">
        <v>5</v>
      </c>
      <c r="AJ19" s="84" t="s">
        <v>34</v>
      </c>
      <c r="AK19" s="151" t="s">
        <v>146</v>
      </c>
      <c r="AL19" s="234" t="s">
        <v>5</v>
      </c>
      <c r="AM19" s="84" t="s">
        <v>34</v>
      </c>
      <c r="AN19" s="137" t="s">
        <v>22</v>
      </c>
      <c r="AR19" s="144" t="s">
        <v>2</v>
      </c>
      <c r="AS19" s="86" t="s">
        <v>34</v>
      </c>
      <c r="AT19" s="152" t="s">
        <v>146</v>
      </c>
      <c r="AU19" s="237" t="s">
        <v>2</v>
      </c>
      <c r="AV19" s="86" t="s">
        <v>34</v>
      </c>
      <c r="AW19" s="145" t="s">
        <v>22</v>
      </c>
      <c r="BA19" s="144" t="s">
        <v>4</v>
      </c>
      <c r="BB19" s="86" t="s">
        <v>34</v>
      </c>
      <c r="BC19" s="152" t="s">
        <v>146</v>
      </c>
      <c r="BD19" s="237" t="s">
        <v>4</v>
      </c>
      <c r="BE19" s="86" t="s">
        <v>34</v>
      </c>
      <c r="BF19" s="145" t="s">
        <v>22</v>
      </c>
      <c r="BJ19" s="144" t="s">
        <v>222</v>
      </c>
      <c r="BK19" s="86" t="s">
        <v>34</v>
      </c>
      <c r="BL19" s="152" t="s">
        <v>146</v>
      </c>
      <c r="BM19" s="237" t="s">
        <v>222</v>
      </c>
      <c r="BN19" s="86" t="s">
        <v>34</v>
      </c>
      <c r="BO19" s="145" t="s">
        <v>22</v>
      </c>
      <c r="BS19" t="s">
        <v>445</v>
      </c>
      <c r="BT19" s="1">
        <f>E18</f>
        <v>2.3899999999999998E-9</v>
      </c>
      <c r="BU19" t="s">
        <v>107</v>
      </c>
      <c r="BV19" t="s">
        <v>404</v>
      </c>
      <c r="BW19">
        <v>45</v>
      </c>
      <c r="BX19" t="s">
        <v>52</v>
      </c>
      <c r="BY19" t="s">
        <v>127</v>
      </c>
      <c r="BZ19">
        <f>B37</f>
        <v>100</v>
      </c>
      <c r="CA19" t="s">
        <v>90</v>
      </c>
      <c r="CB19" s="405"/>
      <c r="CC19" s="81"/>
      <c r="CD19" s="82"/>
      <c r="CE19" s="232"/>
      <c r="CF19" s="81"/>
      <c r="CG19" s="82"/>
      <c r="CK19" s="399"/>
      <c r="CL19" s="400"/>
      <c r="CM19" s="401"/>
      <c r="CN19" s="393"/>
      <c r="CO19" s="81"/>
      <c r="CP19" s="82"/>
      <c r="CQ19" s="232"/>
      <c r="CR19" s="81"/>
      <c r="CS19" s="82"/>
      <c r="CT19" t="s">
        <v>479</v>
      </c>
      <c r="CU19" s="1">
        <f>FC3</f>
        <v>5.7071540545791118E-2</v>
      </c>
      <c r="CV19" t="s">
        <v>22</v>
      </c>
      <c r="CW19" t="s">
        <v>464</v>
      </c>
      <c r="CX19">
        <v>1</v>
      </c>
      <c r="CZ19" t="s">
        <v>480</v>
      </c>
      <c r="DA19" s="1">
        <f>GS3</f>
        <v>0.32718208214753053</v>
      </c>
      <c r="DD19" s="1">
        <v>9.9999999999999995E-7</v>
      </c>
      <c r="DF19" t="s">
        <v>137</v>
      </c>
      <c r="DG19">
        <v>2.6999999999999999E-5</v>
      </c>
      <c r="DH19" t="s">
        <v>130</v>
      </c>
      <c r="DO19" t="s">
        <v>137</v>
      </c>
      <c r="DP19">
        <v>2.6999999999999999E-5</v>
      </c>
      <c r="DQ19" t="s">
        <v>130</v>
      </c>
      <c r="DR19" t="s">
        <v>433</v>
      </c>
      <c r="DS19" s="1">
        <f>B49</f>
        <v>0.15</v>
      </c>
      <c r="ED19" t="s">
        <v>137</v>
      </c>
      <c r="EE19">
        <v>2.6999999999999999E-5</v>
      </c>
      <c r="EF19" t="s">
        <v>130</v>
      </c>
      <c r="EG19" t="s">
        <v>433</v>
      </c>
      <c r="EH19" s="1">
        <f>B49</f>
        <v>0.15</v>
      </c>
      <c r="ES19" t="s">
        <v>137</v>
      </c>
      <c r="ET19">
        <v>2.6999999999999999E-5</v>
      </c>
      <c r="EU19" t="s">
        <v>130</v>
      </c>
      <c r="EV19" t="s">
        <v>433</v>
      </c>
      <c r="EW19" s="1">
        <f>B49</f>
        <v>0.15</v>
      </c>
      <c r="FH19" t="s">
        <v>137</v>
      </c>
      <c r="FI19">
        <v>2.6999999999999999E-5</v>
      </c>
      <c r="FJ19" t="s">
        <v>130</v>
      </c>
      <c r="FK19" t="s">
        <v>433</v>
      </c>
      <c r="FL19" s="1">
        <f>B49</f>
        <v>0.15</v>
      </c>
      <c r="FW19" t="s">
        <v>137</v>
      </c>
      <c r="FX19">
        <v>2.6999999999999999E-5</v>
      </c>
      <c r="FY19" t="s">
        <v>130</v>
      </c>
      <c r="FZ19" t="s">
        <v>433</v>
      </c>
      <c r="GA19" s="1">
        <f>B49</f>
        <v>0.15</v>
      </c>
      <c r="GL19" t="s">
        <v>137</v>
      </c>
      <c r="GM19">
        <v>2.6999999999999999E-5</v>
      </c>
      <c r="GN19" t="s">
        <v>130</v>
      </c>
      <c r="GO19" t="s">
        <v>432</v>
      </c>
      <c r="GP19" s="1">
        <f>B50</f>
        <v>0.85</v>
      </c>
      <c r="HA19" t="s">
        <v>137</v>
      </c>
      <c r="HB19">
        <v>2.6999999999999999E-5</v>
      </c>
      <c r="HC19" t="s">
        <v>130</v>
      </c>
    </row>
    <row r="20" spans="1:214" ht="14.25" thickTop="1" thickBot="1" x14ac:dyDescent="0.25">
      <c r="A20" t="s">
        <v>185</v>
      </c>
      <c r="B20" s="410">
        <f>PEF!J3</f>
        <v>69557565.807898715</v>
      </c>
      <c r="D20" t="s">
        <v>452</v>
      </c>
      <c r="E20" s="1">
        <f>(E5)/((E14/E15)*E10*E11)</f>
        <v>9.499451954694921</v>
      </c>
      <c r="F20" t="s">
        <v>36</v>
      </c>
      <c r="G20" t="s">
        <v>224</v>
      </c>
      <c r="H20">
        <f>B34</f>
        <v>20</v>
      </c>
      <c r="J20" t="s">
        <v>77</v>
      </c>
      <c r="K20" s="428">
        <f>(K35*K31*K23*(K36/24)*K53)+(K34*K32*K24*(K37/24)*K54)</f>
        <v>6192.3076923076924</v>
      </c>
      <c r="L20" t="s">
        <v>134</v>
      </c>
      <c r="M20" s="120" t="s">
        <v>475</v>
      </c>
      <c r="N20" s="123">
        <f>(N22*N23*N24)/((1-EXP(-N24*N23))*N27*N32*(N26/365)*N30*((N31*N29)+(N33*N28)))</f>
        <v>6.2315699434768721</v>
      </c>
      <c r="O20" s="131"/>
      <c r="P20" s="253" t="s">
        <v>475</v>
      </c>
      <c r="Q20" s="123">
        <f>(Q22*Q23*Q24)/((1-EXP(-Q24*Q23))*Q27*Q32*(Q26/365)*Q30*((Q31*Q29)+(Q33*Q28)))</f>
        <v>2.2015931173932031</v>
      </c>
      <c r="R20" s="122"/>
      <c r="AB20" t="s">
        <v>412</v>
      </c>
      <c r="AC20">
        <f>B35</f>
        <v>60</v>
      </c>
      <c r="AD20">
        <f>B35</f>
        <v>60</v>
      </c>
      <c r="AE20">
        <f>B35</f>
        <v>60</v>
      </c>
      <c r="AF20">
        <f>B35</f>
        <v>60</v>
      </c>
      <c r="AG20">
        <f>B35</f>
        <v>60</v>
      </c>
      <c r="AH20" t="s">
        <v>78</v>
      </c>
      <c r="AI20" s="136" t="s">
        <v>475</v>
      </c>
      <c r="AJ20" s="85">
        <f>(AJ22*AJ23*AJ24)/((1-EXP(-AJ24*AJ23))*AJ27*AJ32*(AJ26/365)*AJ30*((AJ31*AJ29)+(AJ33*AJ28)))</f>
        <v>22.4175096512073</v>
      </c>
      <c r="AK20" s="151"/>
      <c r="AL20" s="234" t="s">
        <v>475</v>
      </c>
      <c r="AM20" s="85">
        <f>(AM22*AM23*AM24)/((1-EXP(-AM24*AM23))*AM27*AM32*(AM26/365)*AM30*((AM31*AM29)+(AM33*AM28)))</f>
        <v>7.9200322558935694</v>
      </c>
      <c r="AN20" s="137"/>
      <c r="AR20" s="144" t="s">
        <v>475</v>
      </c>
      <c r="AS20" s="87">
        <f>(AS22*AS23*AS24)/((1-EXP(-AS24*AS23))*AS27*AS32*(AS26/365)*AS30*((AS31*AS29)+(AS33*AS28)))</f>
        <v>9.9633376227588002</v>
      </c>
      <c r="AT20" s="152"/>
      <c r="AU20" s="237" t="s">
        <v>475</v>
      </c>
      <c r="AV20" s="87">
        <f>(AV22*AV23*AV24)/((1-EXP(-AV24*AV23))*AV27*AV32*(AV26/365)*AV30*((AV31*AV29)+(AV33*AV28)))</f>
        <v>3.5200143359526974</v>
      </c>
      <c r="AW20" s="145"/>
      <c r="BA20" s="144" t="s">
        <v>475</v>
      </c>
      <c r="BB20" s="87">
        <f>(BB22*BB23*BB24)/((1-EXP(-BB24*BB23))*BB27*BB32*(BB26/365)*BB30*((BB31*BB29)+(BB33*BB28)))</f>
        <v>8.9670038604829205</v>
      </c>
      <c r="BC20" s="152"/>
      <c r="BD20" s="237" t="s">
        <v>475</v>
      </c>
      <c r="BE20" s="87">
        <f>(BE22*BE23*BE24)/((1-EXP(-BE24*BE23))*BE27*BE32*(BE26/365)*BE30*((BE31*BE29)+(BE33*BE28)))</f>
        <v>3.1680129023574279</v>
      </c>
      <c r="BF20" s="145"/>
      <c r="BJ20" s="144" t="s">
        <v>475</v>
      </c>
      <c r="BK20" s="87">
        <f>(BK22*BK23*BK24)/((1-EXP(-BK24*BK23))*BK29*BK34*(BK26/365)*BK32*BK33*BK31)</f>
        <v>542527.0652507341</v>
      </c>
      <c r="BL20" s="152"/>
      <c r="BM20" s="237" t="s">
        <v>475</v>
      </c>
      <c r="BN20" s="87">
        <f>(BN22*BN23*BN24)/((1-EXP(-BN24*BN23))*BN29*BN34*(BN26/365)*BN32*BN33*BN31)</f>
        <v>25363.302335574768</v>
      </c>
      <c r="BO20" s="145"/>
      <c r="BS20" t="s">
        <v>464</v>
      </c>
      <c r="BT20">
        <v>1</v>
      </c>
      <c r="BV20" t="s">
        <v>100</v>
      </c>
      <c r="BW20">
        <v>1</v>
      </c>
      <c r="BX20" t="s">
        <v>119</v>
      </c>
      <c r="BY20" t="s">
        <v>223</v>
      </c>
      <c r="BZ20">
        <f>B33</f>
        <v>10</v>
      </c>
      <c r="CA20" t="s">
        <v>78</v>
      </c>
      <c r="CB20" t="s">
        <v>458</v>
      </c>
      <c r="CC20" s="1">
        <v>1</v>
      </c>
      <c r="CD20" t="s">
        <v>459</v>
      </c>
      <c r="CE20" t="s">
        <v>458</v>
      </c>
      <c r="CF20" s="1">
        <v>1</v>
      </c>
      <c r="CG20" t="s">
        <v>459</v>
      </c>
      <c r="CK20" t="s">
        <v>458</v>
      </c>
      <c r="CL20" s="1">
        <v>1</v>
      </c>
      <c r="CM20" t="s">
        <v>459</v>
      </c>
      <c r="CN20" t="s">
        <v>396</v>
      </c>
      <c r="CO20" s="1">
        <f>B28</f>
        <v>0.03</v>
      </c>
      <c r="CQ20" t="s">
        <v>396</v>
      </c>
      <c r="CR20">
        <f>CO20</f>
        <v>0.03</v>
      </c>
      <c r="CT20" t="s">
        <v>480</v>
      </c>
      <c r="CU20" s="1">
        <f>GV3</f>
        <v>2.3779889936129082E-3</v>
      </c>
      <c r="CV20" t="s">
        <v>22</v>
      </c>
      <c r="CW20" t="s">
        <v>452</v>
      </c>
      <c r="CX20" s="1">
        <f>(CX5)/((CX14/CX15)*CX10*CX11)</f>
        <v>9.0847149670679084</v>
      </c>
      <c r="CY20" t="s">
        <v>36</v>
      </c>
      <c r="CZ20" t="s">
        <v>481</v>
      </c>
      <c r="DA20" s="1">
        <f>EK3</f>
        <v>3.1437147417790124E-4</v>
      </c>
      <c r="DD20" s="1">
        <v>1000</v>
      </c>
      <c r="DE20" t="s">
        <v>179</v>
      </c>
      <c r="DF20" t="s">
        <v>138</v>
      </c>
      <c r="DG20" s="1">
        <f>0.693/DG23</f>
        <v>6.3E-5</v>
      </c>
      <c r="DH20" t="s">
        <v>130</v>
      </c>
      <c r="DO20" t="s">
        <v>138</v>
      </c>
      <c r="DP20">
        <v>0</v>
      </c>
      <c r="DQ20" t="s">
        <v>130</v>
      </c>
      <c r="DR20" t="s">
        <v>432</v>
      </c>
      <c r="DS20" s="1">
        <f>B50</f>
        <v>0.85</v>
      </c>
      <c r="ED20" t="s">
        <v>138</v>
      </c>
      <c r="EE20">
        <v>0</v>
      </c>
      <c r="EF20" t="s">
        <v>130</v>
      </c>
      <c r="EG20" t="s">
        <v>432</v>
      </c>
      <c r="EH20" s="1">
        <f>B50</f>
        <v>0.85</v>
      </c>
      <c r="ES20" t="s">
        <v>138</v>
      </c>
      <c r="ET20">
        <v>0</v>
      </c>
      <c r="EU20" t="s">
        <v>130</v>
      </c>
      <c r="EV20" t="s">
        <v>432</v>
      </c>
      <c r="EW20" s="1">
        <f>B50</f>
        <v>0.85</v>
      </c>
      <c r="FH20" t="s">
        <v>138</v>
      </c>
      <c r="FI20">
        <v>0</v>
      </c>
      <c r="FJ20" t="s">
        <v>130</v>
      </c>
      <c r="FK20" t="s">
        <v>432</v>
      </c>
      <c r="FL20" s="1">
        <f>B50</f>
        <v>0.85</v>
      </c>
      <c r="FW20" t="s">
        <v>138</v>
      </c>
      <c r="FX20">
        <v>0</v>
      </c>
      <c r="FY20" t="s">
        <v>130</v>
      </c>
      <c r="FZ20" t="s">
        <v>432</v>
      </c>
      <c r="GA20" s="1">
        <f>B50</f>
        <v>0.85</v>
      </c>
      <c r="GL20" t="s">
        <v>138</v>
      </c>
      <c r="GM20">
        <v>0</v>
      </c>
      <c r="GN20" t="s">
        <v>130</v>
      </c>
      <c r="HA20" t="s">
        <v>138</v>
      </c>
      <c r="HB20">
        <v>0</v>
      </c>
      <c r="HC20" t="s">
        <v>130</v>
      </c>
    </row>
    <row r="21" spans="1:214" ht="14.25" thickTop="1" thickBot="1" x14ac:dyDescent="0.25">
      <c r="A21" t="s">
        <v>411</v>
      </c>
      <c r="B21" s="410">
        <v>11000</v>
      </c>
      <c r="C21" t="s">
        <v>381</v>
      </c>
      <c r="D21" t="s">
        <v>477</v>
      </c>
      <c r="E21" s="1">
        <f>(E5)/((E14/E15)*E8*E9*E18*(1/365)*E19)</f>
        <v>436341900.77704728</v>
      </c>
      <c r="F21" t="s">
        <v>36</v>
      </c>
      <c r="G21" t="s">
        <v>240</v>
      </c>
      <c r="H21" s="426">
        <f>(H29*H32*H38*H34*H70)+(H30*H33*H39*H35*H71)</f>
        <v>234.76923076923077</v>
      </c>
      <c r="I21" t="s">
        <v>408</v>
      </c>
      <c r="J21" t="s">
        <v>108</v>
      </c>
      <c r="K21">
        <f>B36</f>
        <v>200</v>
      </c>
      <c r="L21" t="s">
        <v>90</v>
      </c>
      <c r="M21" s="124"/>
      <c r="N21" s="125"/>
      <c r="O21" s="169"/>
      <c r="P21" s="254"/>
      <c r="Q21" s="125"/>
      <c r="R21" s="126"/>
      <c r="AB21" t="s">
        <v>462</v>
      </c>
      <c r="AC21">
        <v>0.4</v>
      </c>
      <c r="AD21">
        <v>0.4</v>
      </c>
      <c r="AE21">
        <v>0.4</v>
      </c>
      <c r="AF21">
        <v>0.4</v>
      </c>
      <c r="AG21">
        <v>0.4</v>
      </c>
      <c r="AI21" s="138" t="s">
        <v>32</v>
      </c>
      <c r="AJ21" s="139"/>
      <c r="AK21" s="153"/>
      <c r="AL21" s="235" t="s">
        <v>32</v>
      </c>
      <c r="AM21" s="139"/>
      <c r="AN21" s="140"/>
      <c r="AR21" s="146" t="s">
        <v>32</v>
      </c>
      <c r="AS21" s="147"/>
      <c r="AT21" s="154"/>
      <c r="AU21" s="238" t="s">
        <v>32</v>
      </c>
      <c r="AV21" s="147"/>
      <c r="AW21" s="148"/>
      <c r="BA21" s="146" t="s">
        <v>32</v>
      </c>
      <c r="BB21" s="147"/>
      <c r="BC21" s="154"/>
      <c r="BD21" s="238" t="s">
        <v>32</v>
      </c>
      <c r="BE21" s="147"/>
      <c r="BF21" s="148"/>
      <c r="BJ21" s="146" t="s">
        <v>32</v>
      </c>
      <c r="BK21" s="147"/>
      <c r="BL21" s="154"/>
      <c r="BM21" s="238" t="s">
        <v>32</v>
      </c>
      <c r="BN21" s="147"/>
      <c r="BO21" s="148"/>
      <c r="BS21" t="s">
        <v>452</v>
      </c>
      <c r="BT21" s="1">
        <f>(BT5)/(BT10*BT11)</f>
        <v>627.45098039215691</v>
      </c>
      <c r="BU21" t="s">
        <v>36</v>
      </c>
      <c r="BV21" t="s">
        <v>402</v>
      </c>
      <c r="BW21">
        <v>1</v>
      </c>
      <c r="BY21" t="s">
        <v>224</v>
      </c>
      <c r="BZ21">
        <f>B34</f>
        <v>20</v>
      </c>
      <c r="CA21" t="s">
        <v>78</v>
      </c>
      <c r="CB21" t="s">
        <v>58</v>
      </c>
      <c r="CC21">
        <v>26</v>
      </c>
      <c r="CD21" t="s">
        <v>59</v>
      </c>
      <c r="CE21" t="s">
        <v>58</v>
      </c>
      <c r="CF21">
        <v>26</v>
      </c>
      <c r="CG21" t="s">
        <v>59</v>
      </c>
      <c r="CK21" t="s">
        <v>447</v>
      </c>
      <c r="CL21" s="1">
        <f>E35</f>
        <v>4.8099999999999997E-2</v>
      </c>
      <c r="CM21" t="s">
        <v>22</v>
      </c>
      <c r="CN21" t="s">
        <v>47</v>
      </c>
      <c r="CO21">
        <f>CO23</f>
        <v>0.2</v>
      </c>
      <c r="CQ21" t="s">
        <v>316</v>
      </c>
      <c r="CR21" s="17">
        <v>1</v>
      </c>
      <c r="CS21" t="s">
        <v>56</v>
      </c>
      <c r="CT21" t="s">
        <v>481</v>
      </c>
      <c r="CU21" s="1">
        <f>EN3</f>
        <v>1.376629263332474E-4</v>
      </c>
      <c r="CV21" t="s">
        <v>22</v>
      </c>
      <c r="CW21" t="s">
        <v>477</v>
      </c>
      <c r="CX21" s="1">
        <f>(CX5)/((CX14/CX15)*CX8*CX9*CX18*(1/365)*CX19)</f>
        <v>436341900.77704728</v>
      </c>
      <c r="CY21" t="s">
        <v>36</v>
      </c>
      <c r="CZ21" t="s">
        <v>482</v>
      </c>
      <c r="DA21" s="1">
        <f>DV3</f>
        <v>1.4382358094223093E-4</v>
      </c>
      <c r="DC21" t="s">
        <v>139</v>
      </c>
      <c r="DD21">
        <v>1</v>
      </c>
      <c r="DF21" t="s">
        <v>140</v>
      </c>
      <c r="DG21">
        <v>1</v>
      </c>
      <c r="DH21" t="s">
        <v>75</v>
      </c>
      <c r="DO21" t="s">
        <v>140</v>
      </c>
      <c r="DP21">
        <v>1</v>
      </c>
      <c r="DQ21" t="s">
        <v>75</v>
      </c>
      <c r="ED21" t="s">
        <v>140</v>
      </c>
      <c r="EE21">
        <v>1</v>
      </c>
      <c r="EF21" t="s">
        <v>75</v>
      </c>
      <c r="ES21" t="s">
        <v>140</v>
      </c>
      <c r="ET21">
        <v>1</v>
      </c>
      <c r="EU21" t="s">
        <v>75</v>
      </c>
      <c r="FH21" t="s">
        <v>140</v>
      </c>
      <c r="FI21">
        <v>1</v>
      </c>
      <c r="FJ21" t="s">
        <v>75</v>
      </c>
      <c r="FW21" t="s">
        <v>140</v>
      </c>
      <c r="FX21">
        <v>1</v>
      </c>
      <c r="FY21" t="s">
        <v>75</v>
      </c>
      <c r="GL21" t="s">
        <v>140</v>
      </c>
      <c r="GM21">
        <v>1</v>
      </c>
      <c r="GN21" t="s">
        <v>75</v>
      </c>
      <c r="HA21" t="s">
        <v>140</v>
      </c>
      <c r="HB21">
        <v>1</v>
      </c>
      <c r="HC21" t="s">
        <v>75</v>
      </c>
      <c r="HD21" s="157" t="s">
        <v>456</v>
      </c>
      <c r="HE21" s="158" t="s">
        <v>15</v>
      </c>
      <c r="HF21" s="159" t="s">
        <v>143</v>
      </c>
    </row>
    <row r="22" spans="1:214" ht="13.5" thickTop="1" x14ac:dyDescent="0.2">
      <c r="A22" t="s">
        <v>186</v>
      </c>
      <c r="B22" s="410">
        <v>2000</v>
      </c>
      <c r="C22" t="s">
        <v>45</v>
      </c>
      <c r="D22" t="s">
        <v>452</v>
      </c>
      <c r="E22" s="1">
        <f>(E5*E9*E6)/((E14/E15)*(1-EXP(-E6*E9))*E10*E11)</f>
        <v>9.4997511905755481</v>
      </c>
      <c r="F22" t="s">
        <v>37</v>
      </c>
      <c r="G22" t="s">
        <v>373</v>
      </c>
      <c r="H22" s="427">
        <f>(H29*H32*H23*H70)+(H30*H33*H24*H71)</f>
        <v>16326.153846153848</v>
      </c>
      <c r="I22" t="s">
        <v>213</v>
      </c>
      <c r="J22" t="s">
        <v>127</v>
      </c>
      <c r="K22">
        <f>B37</f>
        <v>100</v>
      </c>
      <c r="L22" t="s">
        <v>90</v>
      </c>
      <c r="M22" t="s">
        <v>485</v>
      </c>
      <c r="N22" s="1">
        <v>1</v>
      </c>
      <c r="P22" t="s">
        <v>485</v>
      </c>
      <c r="Q22" s="1">
        <v>1</v>
      </c>
      <c r="V22" s="88" t="s">
        <v>1</v>
      </c>
      <c r="W22" s="89" t="s">
        <v>5</v>
      </c>
      <c r="X22" s="89" t="s">
        <v>15</v>
      </c>
      <c r="Y22" s="248" t="s">
        <v>1</v>
      </c>
      <c r="Z22" s="89" t="s">
        <v>222</v>
      </c>
      <c r="AA22" s="90" t="s">
        <v>15</v>
      </c>
      <c r="AB22" t="s">
        <v>105</v>
      </c>
      <c r="AC22">
        <v>1</v>
      </c>
      <c r="AD22">
        <v>1</v>
      </c>
      <c r="AE22">
        <v>1</v>
      </c>
      <c r="AF22">
        <v>1</v>
      </c>
      <c r="AG22">
        <v>1</v>
      </c>
      <c r="AI22" t="s">
        <v>458</v>
      </c>
      <c r="AJ22" s="1">
        <v>1</v>
      </c>
      <c r="AK22" t="s">
        <v>459</v>
      </c>
      <c r="AL22" t="s">
        <v>458</v>
      </c>
      <c r="AM22" s="1">
        <v>1</v>
      </c>
      <c r="AN22" t="s">
        <v>459</v>
      </c>
      <c r="AR22" t="s">
        <v>458</v>
      </c>
      <c r="AS22" s="1">
        <v>1</v>
      </c>
      <c r="AT22" t="s">
        <v>459</v>
      </c>
      <c r="AU22" t="s">
        <v>458</v>
      </c>
      <c r="AV22" s="1">
        <v>1</v>
      </c>
      <c r="AW22" t="s">
        <v>459</v>
      </c>
      <c r="BA22" t="s">
        <v>458</v>
      </c>
      <c r="BB22" s="1">
        <v>1</v>
      </c>
      <c r="BC22" t="s">
        <v>459</v>
      </c>
      <c r="BD22" t="s">
        <v>458</v>
      </c>
      <c r="BE22" s="1">
        <v>1</v>
      </c>
      <c r="BF22" t="s">
        <v>459</v>
      </c>
      <c r="BJ22" t="s">
        <v>458</v>
      </c>
      <c r="BK22" s="1">
        <v>1</v>
      </c>
      <c r="BL22" t="s">
        <v>459</v>
      </c>
      <c r="BM22" t="s">
        <v>458</v>
      </c>
      <c r="BN22" s="1">
        <v>1</v>
      </c>
      <c r="BO22" t="s">
        <v>459</v>
      </c>
      <c r="BS22" t="s">
        <v>477</v>
      </c>
      <c r="BT22" s="1">
        <f>(BT5)/((BT14/24)*(BT8/365)*BT9*BT19*BT20)</f>
        <v>48870292887.029289</v>
      </c>
      <c r="BU22" t="s">
        <v>36</v>
      </c>
      <c r="BV22" t="s">
        <v>401</v>
      </c>
      <c r="BW22">
        <v>1</v>
      </c>
      <c r="BY22" t="s">
        <v>221</v>
      </c>
      <c r="BZ22">
        <v>75</v>
      </c>
      <c r="CA22" t="s">
        <v>52</v>
      </c>
      <c r="CB22" t="s">
        <v>49</v>
      </c>
      <c r="CC22" s="1">
        <f>0.693/CC23</f>
        <v>2.3099999999999999E-2</v>
      </c>
      <c r="CE22" t="s">
        <v>49</v>
      </c>
      <c r="CF22" s="1">
        <f>0.693/CF23</f>
        <v>2.3099999999999999E-2</v>
      </c>
      <c r="CK22" t="s">
        <v>221</v>
      </c>
      <c r="CL22">
        <v>75</v>
      </c>
      <c r="CM22" t="s">
        <v>245</v>
      </c>
      <c r="CN22" t="s">
        <v>54</v>
      </c>
      <c r="CO22">
        <f>CO24</f>
        <v>0.25</v>
      </c>
      <c r="CR22">
        <v>1000</v>
      </c>
      <c r="CS22" t="s">
        <v>213</v>
      </c>
      <c r="CT22" t="s">
        <v>482</v>
      </c>
      <c r="CU22" s="1">
        <f>DY3</f>
        <v>7.6204506272843869E-5</v>
      </c>
      <c r="CV22" t="s">
        <v>22</v>
      </c>
      <c r="CW22" t="s">
        <v>452</v>
      </c>
      <c r="CX22" s="1">
        <f>(CX5*CX9*CX6)/((CX14/CX15)*(1-EXP(-CX6*CX9))*CX10*CX11)</f>
        <v>9.1900473959076514</v>
      </c>
      <c r="CY22" t="s">
        <v>37</v>
      </c>
      <c r="CZ22" t="s">
        <v>483</v>
      </c>
      <c r="DA22" s="1">
        <f>GD3</f>
        <v>0.13588005565944899</v>
      </c>
      <c r="DC22" t="s">
        <v>433</v>
      </c>
      <c r="DD22" s="1">
        <f>B49</f>
        <v>0.15</v>
      </c>
      <c r="DF22" t="s">
        <v>144</v>
      </c>
      <c r="DG22">
        <v>14</v>
      </c>
      <c r="DH22" t="s">
        <v>145</v>
      </c>
      <c r="DO22" t="s">
        <v>144</v>
      </c>
      <c r="DP22">
        <v>14</v>
      </c>
      <c r="DQ22" t="s">
        <v>145</v>
      </c>
      <c r="ED22" t="s">
        <v>144</v>
      </c>
      <c r="EE22">
        <v>14</v>
      </c>
      <c r="EF22" t="s">
        <v>145</v>
      </c>
      <c r="ES22" t="s">
        <v>144</v>
      </c>
      <c r="ET22">
        <v>14</v>
      </c>
      <c r="EU22" t="s">
        <v>145</v>
      </c>
      <c r="FH22" t="s">
        <v>144</v>
      </c>
      <c r="FI22">
        <v>14</v>
      </c>
      <c r="FJ22" t="s">
        <v>145</v>
      </c>
      <c r="FW22" t="s">
        <v>144</v>
      </c>
      <c r="FX22">
        <v>14</v>
      </c>
      <c r="FY22" t="s">
        <v>145</v>
      </c>
      <c r="GL22" t="s">
        <v>144</v>
      </c>
      <c r="GM22">
        <v>14</v>
      </c>
      <c r="GN22" t="s">
        <v>145</v>
      </c>
      <c r="HA22" t="s">
        <v>144</v>
      </c>
      <c r="HB22">
        <v>14</v>
      </c>
      <c r="HC22" t="s">
        <v>145</v>
      </c>
      <c r="HD22" s="160" t="s">
        <v>22</v>
      </c>
      <c r="HE22" s="161" t="s">
        <v>33</v>
      </c>
      <c r="HF22" s="162" t="s">
        <v>35</v>
      </c>
    </row>
    <row r="23" spans="1:214" x14ac:dyDescent="0.2">
      <c r="A23" t="s">
        <v>421</v>
      </c>
      <c r="B23" s="410">
        <v>8.0000000000000002E-3</v>
      </c>
      <c r="D23" t="s">
        <v>477</v>
      </c>
      <c r="E23" s="1">
        <f>(E5*E9*E6)/((E14/E15)*E8*E9*(1-EXP(-E6*E9))*E18*(1/365)*E19)</f>
        <v>436355645.69133884</v>
      </c>
      <c r="F23" t="s">
        <v>37</v>
      </c>
      <c r="G23" t="s">
        <v>374</v>
      </c>
      <c r="H23" s="1">
        <f>B40</f>
        <v>14.8</v>
      </c>
      <c r="I23" t="s">
        <v>380</v>
      </c>
      <c r="J23" t="s">
        <v>223</v>
      </c>
      <c r="K23">
        <f>B33</f>
        <v>10</v>
      </c>
      <c r="L23" t="s">
        <v>78</v>
      </c>
      <c r="M23" t="s">
        <v>58</v>
      </c>
      <c r="N23">
        <v>26</v>
      </c>
      <c r="O23" t="s">
        <v>59</v>
      </c>
      <c r="P23" t="s">
        <v>58</v>
      </c>
      <c r="Q23">
        <v>26</v>
      </c>
      <c r="R23" t="s">
        <v>59</v>
      </c>
      <c r="V23" s="91" t="s">
        <v>18</v>
      </c>
      <c r="W23" s="92" t="s">
        <v>456</v>
      </c>
      <c r="X23" s="92" t="s">
        <v>19</v>
      </c>
      <c r="Y23" s="249" t="s">
        <v>18</v>
      </c>
      <c r="Z23" s="92" t="s">
        <v>456</v>
      </c>
      <c r="AA23" s="93" t="s">
        <v>19</v>
      </c>
      <c r="AB23" t="s">
        <v>460</v>
      </c>
      <c r="AC23" s="1">
        <f>B9</f>
        <v>3.19</v>
      </c>
      <c r="AD23" s="1">
        <f>B9</f>
        <v>3.19</v>
      </c>
      <c r="AE23" s="1">
        <f>B9</f>
        <v>3.19</v>
      </c>
      <c r="AF23" s="1">
        <f>B9</f>
        <v>3.19</v>
      </c>
      <c r="AG23" s="1">
        <f>B9</f>
        <v>3.19</v>
      </c>
      <c r="AH23" t="s">
        <v>449</v>
      </c>
      <c r="AI23" t="s">
        <v>58</v>
      </c>
      <c r="AJ23">
        <v>25</v>
      </c>
      <c r="AK23" t="s">
        <v>59</v>
      </c>
      <c r="AL23" t="s">
        <v>58</v>
      </c>
      <c r="AM23">
        <v>25</v>
      </c>
      <c r="AN23" t="s">
        <v>59</v>
      </c>
      <c r="AR23" t="s">
        <v>58</v>
      </c>
      <c r="AS23">
        <v>25</v>
      </c>
      <c r="AT23" t="s">
        <v>59</v>
      </c>
      <c r="AU23" t="s">
        <v>58</v>
      </c>
      <c r="AV23">
        <v>25</v>
      </c>
      <c r="AW23" t="s">
        <v>59</v>
      </c>
      <c r="BA23" t="s">
        <v>58</v>
      </c>
      <c r="BB23">
        <v>25</v>
      </c>
      <c r="BC23" t="s">
        <v>59</v>
      </c>
      <c r="BD23" t="s">
        <v>58</v>
      </c>
      <c r="BE23">
        <v>25</v>
      </c>
      <c r="BF23" t="s">
        <v>59</v>
      </c>
      <c r="BJ23" t="s">
        <v>58</v>
      </c>
      <c r="BK23">
        <v>1</v>
      </c>
      <c r="BL23" t="s">
        <v>59</v>
      </c>
      <c r="BM23" t="s">
        <v>58</v>
      </c>
      <c r="BN23">
        <v>1</v>
      </c>
      <c r="BO23" t="s">
        <v>59</v>
      </c>
      <c r="BS23" t="s">
        <v>452</v>
      </c>
      <c r="BT23" s="1">
        <f>(BT5*BT28*BT6)/((1-EXP(-BT6*BT28))*BT10*BT11)</f>
        <v>834.62327666566148</v>
      </c>
      <c r="BU23" t="s">
        <v>37</v>
      </c>
      <c r="BV23" t="s">
        <v>399</v>
      </c>
      <c r="BW23">
        <v>1</v>
      </c>
      <c r="BX23" t="s">
        <v>164</v>
      </c>
      <c r="BY23" t="s">
        <v>73</v>
      </c>
      <c r="BZ23">
        <v>75</v>
      </c>
      <c r="CA23" t="s">
        <v>52</v>
      </c>
      <c r="CB23" t="s">
        <v>411</v>
      </c>
      <c r="CC23" s="1">
        <f>B17</f>
        <v>30</v>
      </c>
      <c r="CD23" t="s">
        <v>119</v>
      </c>
      <c r="CE23" t="s">
        <v>411</v>
      </c>
      <c r="CF23" s="1">
        <f>B17</f>
        <v>30</v>
      </c>
      <c r="CG23" t="s">
        <v>119</v>
      </c>
      <c r="CK23" t="s">
        <v>99</v>
      </c>
      <c r="CL23">
        <v>1</v>
      </c>
      <c r="CM23" t="s">
        <v>253</v>
      </c>
      <c r="CN23" t="s">
        <v>64</v>
      </c>
      <c r="CO23" s="1">
        <f>B31</f>
        <v>0.2</v>
      </c>
      <c r="CT23" t="s">
        <v>483</v>
      </c>
      <c r="CU23" s="1">
        <f>GG3</f>
        <v>9.5253462796759773E-4</v>
      </c>
      <c r="CV23" t="s">
        <v>22</v>
      </c>
      <c r="CW23" t="s">
        <v>477</v>
      </c>
      <c r="CX23" s="1">
        <f>(CX5*CX9*CX6)/((CX14/CX15)*CX8*CX9*(1-EXP(-CX6*CX9))*CX18*(1/365)*CX19)</f>
        <v>441401052.59193695</v>
      </c>
      <c r="CY23" t="s">
        <v>37</v>
      </c>
      <c r="CZ23" t="s">
        <v>484</v>
      </c>
      <c r="DA23" s="1">
        <f>FO3</f>
        <v>2.7176011131889802E-4</v>
      </c>
      <c r="DC23" t="s">
        <v>432</v>
      </c>
      <c r="DD23" s="1">
        <f>B50</f>
        <v>0.85</v>
      </c>
      <c r="DF23" t="s">
        <v>411</v>
      </c>
      <c r="DG23" s="1">
        <f>B21</f>
        <v>11000</v>
      </c>
      <c r="DH23" t="s">
        <v>381</v>
      </c>
      <c r="DO23" t="s">
        <v>46</v>
      </c>
      <c r="DP23">
        <f>DP25</f>
        <v>0.03</v>
      </c>
      <c r="ED23" t="s">
        <v>46</v>
      </c>
      <c r="EE23">
        <f>EE25</f>
        <v>10</v>
      </c>
      <c r="ES23" t="s">
        <v>46</v>
      </c>
      <c r="ET23">
        <f>ET25</f>
        <v>10</v>
      </c>
      <c r="FH23" t="s">
        <v>46</v>
      </c>
      <c r="FI23">
        <v>0.2</v>
      </c>
      <c r="FW23" t="s">
        <v>46</v>
      </c>
      <c r="FX23">
        <f>FX25</f>
        <v>0.2</v>
      </c>
      <c r="GL23" t="s">
        <v>46</v>
      </c>
      <c r="GM23">
        <f>GM25</f>
        <v>5.0000000000000001E-3</v>
      </c>
      <c r="HA23" t="s">
        <v>46</v>
      </c>
      <c r="HB23">
        <f>HB25</f>
        <v>5.0000000000000001E-3</v>
      </c>
      <c r="HD23" s="302">
        <f>(HE25*HE33*HE38*HE32*10^-3*HE31*HE27)/(HE30*HE41*(1-EXP(-HE27*HE31)))</f>
        <v>0.55845394219543287</v>
      </c>
      <c r="HE23" s="303"/>
      <c r="HF23" s="162" t="s">
        <v>38</v>
      </c>
    </row>
    <row r="24" spans="1:214" ht="13.5" thickBot="1" x14ac:dyDescent="0.25">
      <c r="A24" t="s">
        <v>418</v>
      </c>
      <c r="B24" s="410">
        <v>0.03</v>
      </c>
      <c r="D24" t="s">
        <v>225</v>
      </c>
      <c r="E24">
        <v>350</v>
      </c>
      <c r="F24" t="s">
        <v>52</v>
      </c>
      <c r="G24" t="s">
        <v>375</v>
      </c>
      <c r="H24" s="1">
        <f>B41</f>
        <v>56.2</v>
      </c>
      <c r="I24" t="s">
        <v>380</v>
      </c>
      <c r="J24" t="s">
        <v>224</v>
      </c>
      <c r="K24">
        <f>B34</f>
        <v>20</v>
      </c>
      <c r="L24" t="s">
        <v>78</v>
      </c>
      <c r="M24" t="s">
        <v>49</v>
      </c>
      <c r="N24" s="1">
        <f>0.693/N25</f>
        <v>2.3099999999999999E-2</v>
      </c>
      <c r="P24" t="s">
        <v>49</v>
      </c>
      <c r="Q24" s="1">
        <f>0.693/Q25</f>
        <v>2.3099999999999999E-2</v>
      </c>
      <c r="V24" s="91" t="s">
        <v>37</v>
      </c>
      <c r="W24" s="94">
        <f>1/((1/W39)+(1/W40))</f>
        <v>11.901111301300585</v>
      </c>
      <c r="X24" s="127"/>
      <c r="Y24" s="250" t="s">
        <v>37</v>
      </c>
      <c r="Z24" s="94">
        <f>1/((1/Z37)+(1/Z38))</f>
        <v>11.901111301300585</v>
      </c>
      <c r="AA24" s="95"/>
      <c r="AB24" t="s">
        <v>436</v>
      </c>
      <c r="AC24" s="1">
        <f>B5</f>
        <v>1.7E-5</v>
      </c>
      <c r="AD24" s="1">
        <f>B5</f>
        <v>1.7E-5</v>
      </c>
      <c r="AE24" s="1">
        <f>B5</f>
        <v>1.7E-5</v>
      </c>
      <c r="AF24" s="1">
        <f>B5</f>
        <v>1.7E-5</v>
      </c>
      <c r="AG24" s="1">
        <f>B5</f>
        <v>1.7E-5</v>
      </c>
      <c r="AH24" t="s">
        <v>448</v>
      </c>
      <c r="AI24" t="s">
        <v>49</v>
      </c>
      <c r="AJ24" s="1">
        <f>0.693/AJ25</f>
        <v>2.3099999999999999E-2</v>
      </c>
      <c r="AL24" t="s">
        <v>49</v>
      </c>
      <c r="AM24" s="1">
        <f>0.693/AM25</f>
        <v>2.3099999999999999E-2</v>
      </c>
      <c r="AR24" t="s">
        <v>49</v>
      </c>
      <c r="AS24" s="1">
        <f>0.693/AS25</f>
        <v>2.3099999999999999E-2</v>
      </c>
      <c r="AU24" t="s">
        <v>49</v>
      </c>
      <c r="AV24" s="1">
        <f>0.693/AV25</f>
        <v>2.3099999999999999E-2</v>
      </c>
      <c r="BA24" t="s">
        <v>49</v>
      </c>
      <c r="BB24" s="1">
        <f>0.693/BB25</f>
        <v>2.3099999999999999E-2</v>
      </c>
      <c r="BD24" t="s">
        <v>49</v>
      </c>
      <c r="BE24" s="1">
        <f>0.693/BE25</f>
        <v>2.3099999999999999E-2</v>
      </c>
      <c r="BJ24" t="s">
        <v>49</v>
      </c>
      <c r="BK24" s="1">
        <f>0.693/BK25</f>
        <v>2.3099999999999999E-2</v>
      </c>
      <c r="BM24" t="s">
        <v>49</v>
      </c>
      <c r="BN24" s="1">
        <f>0.693/BN25</f>
        <v>2.3099999999999999E-2</v>
      </c>
      <c r="BS24" t="s">
        <v>477</v>
      </c>
      <c r="BT24" s="1">
        <f>(BT5*BT28*BT6)/((BT14/24)*(BT8/365)*BT9*(1-EXP(-BT6*BT28))*BT19*BT20)</f>
        <v>65006327594.691597</v>
      </c>
      <c r="BU24" t="s">
        <v>37</v>
      </c>
      <c r="BV24" t="s">
        <v>398</v>
      </c>
      <c r="BW24">
        <v>1</v>
      </c>
      <c r="BX24" t="s">
        <v>164</v>
      </c>
      <c r="BY24" t="s">
        <v>67</v>
      </c>
      <c r="BZ24">
        <v>75</v>
      </c>
      <c r="CA24" t="s">
        <v>52</v>
      </c>
      <c r="CB24" t="s">
        <v>51</v>
      </c>
      <c r="CC24">
        <v>75</v>
      </c>
      <c r="CD24" t="s">
        <v>60</v>
      </c>
      <c r="CE24" t="s">
        <v>51</v>
      </c>
      <c r="CF24">
        <v>75</v>
      </c>
      <c r="CG24" t="s">
        <v>60</v>
      </c>
      <c r="CK24" t="s">
        <v>304</v>
      </c>
      <c r="CL24" s="17">
        <v>1</v>
      </c>
      <c r="CM24" t="s">
        <v>380</v>
      </c>
      <c r="CN24" t="s">
        <v>311</v>
      </c>
      <c r="CO24" s="17">
        <v>0.25</v>
      </c>
      <c r="CT24" t="s">
        <v>484</v>
      </c>
      <c r="CU24" s="1">
        <f>FR3</f>
        <v>2.2284329128149635E-6</v>
      </c>
      <c r="CV24" t="s">
        <v>22</v>
      </c>
      <c r="CW24" t="s">
        <v>225</v>
      </c>
      <c r="CX24">
        <v>350</v>
      </c>
      <c r="CY24" t="s">
        <v>52</v>
      </c>
      <c r="CZ24" t="s">
        <v>81</v>
      </c>
      <c r="DA24" s="427">
        <f>(DA35*DA37*DA27*DA51)+(DA36*DA38*DA28*DA52)</f>
        <v>784.7</v>
      </c>
      <c r="DB24" t="s">
        <v>180</v>
      </c>
      <c r="DG24">
        <v>1000</v>
      </c>
      <c r="DO24" t="s">
        <v>54</v>
      </c>
      <c r="DP24">
        <f>DP26</f>
        <v>0.26</v>
      </c>
      <c r="ED24" t="s">
        <v>54</v>
      </c>
      <c r="EE24">
        <f>EE26</f>
        <v>0.25</v>
      </c>
      <c r="ES24" t="s">
        <v>54</v>
      </c>
      <c r="ET24">
        <f>ET26</f>
        <v>0.25</v>
      </c>
      <c r="FH24" t="s">
        <v>54</v>
      </c>
      <c r="FI24">
        <v>0.25</v>
      </c>
      <c r="FW24" t="s">
        <v>54</v>
      </c>
      <c r="FX24">
        <f>FX26</f>
        <v>0.25</v>
      </c>
      <c r="GL24" t="s">
        <v>54</v>
      </c>
      <c r="GM24">
        <f>GM26</f>
        <v>0.25</v>
      </c>
      <c r="HA24" t="s">
        <v>54</v>
      </c>
      <c r="HB24">
        <f>HB26</f>
        <v>0.25</v>
      </c>
      <c r="HD24" s="304">
        <f>(HE26*HE33*HE38*HE32*10^-3*HE31*HE27)/(HE30*HE41*(1-EXP(-HE27*HE31)))</f>
        <v>9.5906447878375996E-4</v>
      </c>
      <c r="HE24" s="305"/>
      <c r="HF24" s="306" t="s">
        <v>43</v>
      </c>
    </row>
    <row r="25" spans="1:214" ht="14.25" thickTop="1" thickBot="1" x14ac:dyDescent="0.25">
      <c r="A25" t="s">
        <v>419</v>
      </c>
      <c r="B25" s="410">
        <v>10</v>
      </c>
      <c r="D25" t="s">
        <v>226</v>
      </c>
      <c r="E25">
        <v>350</v>
      </c>
      <c r="F25" t="s">
        <v>52</v>
      </c>
      <c r="G25" t="s">
        <v>372</v>
      </c>
      <c r="H25" s="427">
        <f>(H29*H32*H26*H70)+(H30*H33*H27*H71)</f>
        <v>8513.0769230769238</v>
      </c>
      <c r="I25" t="s">
        <v>213</v>
      </c>
      <c r="J25" t="s">
        <v>373</v>
      </c>
      <c r="K25" s="427">
        <f>(K31*K35*K26*K53)+(K32*K34*K27*K54)</f>
        <v>16326.153846153848</v>
      </c>
      <c r="L25" t="s">
        <v>213</v>
      </c>
      <c r="M25" t="s">
        <v>411</v>
      </c>
      <c r="N25" s="1">
        <f>B17</f>
        <v>30</v>
      </c>
      <c r="O25" t="s">
        <v>119</v>
      </c>
      <c r="P25" t="s">
        <v>411</v>
      </c>
      <c r="Q25" s="1">
        <f>B17</f>
        <v>30</v>
      </c>
      <c r="R25" t="s">
        <v>119</v>
      </c>
      <c r="V25" s="130" t="s">
        <v>36</v>
      </c>
      <c r="W25" s="96">
        <f>1/((1/W37)+(1/W38))</f>
        <v>11.764705806828777</v>
      </c>
      <c r="X25" s="128"/>
      <c r="Y25" s="251" t="s">
        <v>36</v>
      </c>
      <c r="Z25" s="129">
        <f>1/((1/Z39)+(1/Z40))</f>
        <v>11.764705806828776</v>
      </c>
      <c r="AA25" s="97"/>
      <c r="AC25" s="1"/>
      <c r="AD25" s="1"/>
      <c r="AE25" s="1"/>
      <c r="AI25" t="s">
        <v>411</v>
      </c>
      <c r="AJ25" s="1">
        <f>B17</f>
        <v>30</v>
      </c>
      <c r="AK25" t="s">
        <v>119</v>
      </c>
      <c r="AL25" t="s">
        <v>411</v>
      </c>
      <c r="AM25" s="1">
        <f>B17</f>
        <v>30</v>
      </c>
      <c r="AN25" t="s">
        <v>119</v>
      </c>
      <c r="AR25" t="s">
        <v>411</v>
      </c>
      <c r="AS25" s="1">
        <f>B17</f>
        <v>30</v>
      </c>
      <c r="AT25" t="s">
        <v>119</v>
      </c>
      <c r="AU25" t="s">
        <v>411</v>
      </c>
      <c r="AV25" s="1">
        <f>B17</f>
        <v>30</v>
      </c>
      <c r="AW25" t="s">
        <v>119</v>
      </c>
      <c r="BA25" t="s">
        <v>411</v>
      </c>
      <c r="BB25" s="1">
        <f>B17</f>
        <v>30</v>
      </c>
      <c r="BC25" t="s">
        <v>119</v>
      </c>
      <c r="BD25" t="s">
        <v>411</v>
      </c>
      <c r="BE25" s="1">
        <f>B17</f>
        <v>30</v>
      </c>
      <c r="BF25" t="s">
        <v>119</v>
      </c>
      <c r="BJ25" t="s">
        <v>411</v>
      </c>
      <c r="BK25" s="1">
        <f>B17</f>
        <v>30</v>
      </c>
      <c r="BL25" t="s">
        <v>119</v>
      </c>
      <c r="BM25" t="s">
        <v>411</v>
      </c>
      <c r="BN25" s="1">
        <f>B17</f>
        <v>30</v>
      </c>
      <c r="BO25" t="s">
        <v>119</v>
      </c>
      <c r="BS25" t="s">
        <v>225</v>
      </c>
      <c r="BT25">
        <v>75</v>
      </c>
      <c r="BU25" t="s">
        <v>52</v>
      </c>
      <c r="BV25" t="s">
        <v>400</v>
      </c>
      <c r="BW25">
        <v>1</v>
      </c>
      <c r="BX25" t="s">
        <v>80</v>
      </c>
      <c r="BY25" t="s">
        <v>99</v>
      </c>
      <c r="BZ25">
        <v>1</v>
      </c>
      <c r="CA25" t="s">
        <v>119</v>
      </c>
      <c r="CB25" t="s">
        <v>65</v>
      </c>
      <c r="CC25">
        <v>1</v>
      </c>
      <c r="CD25" t="s">
        <v>59</v>
      </c>
      <c r="CE25" t="s">
        <v>65</v>
      </c>
      <c r="CF25">
        <v>1</v>
      </c>
      <c r="CG25" t="s">
        <v>59</v>
      </c>
      <c r="CN25" t="s">
        <v>309</v>
      </c>
      <c r="CO25" s="17">
        <v>1</v>
      </c>
      <c r="CP25" t="s">
        <v>431</v>
      </c>
      <c r="CT25" t="s">
        <v>82</v>
      </c>
      <c r="CU25" s="428">
        <f>(CU27*CU31*CU35*CU49)+(CU28*CU32*CU34*CU50)</f>
        <v>40250</v>
      </c>
      <c r="CV25" t="s">
        <v>406</v>
      </c>
      <c r="CW25" t="s">
        <v>226</v>
      </c>
      <c r="CX25">
        <v>350</v>
      </c>
      <c r="CY25" t="s">
        <v>52</v>
      </c>
      <c r="CZ25" t="s">
        <v>77</v>
      </c>
      <c r="DA25" s="427">
        <f>(DA35*DA37*DA29*(DA40/24)*DA51)+(DA36*DA38*DA30*(DA41/24)*DA52)</f>
        <v>6475</v>
      </c>
      <c r="DB25" t="s">
        <v>407</v>
      </c>
      <c r="DO25" t="s">
        <v>63</v>
      </c>
      <c r="DP25">
        <f>B28</f>
        <v>0.03</v>
      </c>
      <c r="ED25" t="s">
        <v>64</v>
      </c>
      <c r="EE25">
        <f>B29</f>
        <v>10</v>
      </c>
      <c r="ES25" t="s">
        <v>64</v>
      </c>
      <c r="ET25">
        <f>B29</f>
        <v>10</v>
      </c>
      <c r="FH25" t="s">
        <v>64</v>
      </c>
      <c r="FI25">
        <v>5.0000000000000001E-3</v>
      </c>
      <c r="FW25" t="s">
        <v>64</v>
      </c>
      <c r="FX25">
        <v>0.2</v>
      </c>
      <c r="GL25" t="s">
        <v>64</v>
      </c>
      <c r="GM25">
        <v>5.0000000000000001E-3</v>
      </c>
      <c r="HA25" t="s">
        <v>64</v>
      </c>
      <c r="HB25">
        <v>5.0000000000000001E-3</v>
      </c>
      <c r="HD25" s="2" t="s">
        <v>48</v>
      </c>
      <c r="HE25" s="1">
        <v>15</v>
      </c>
      <c r="HF25" t="s">
        <v>24</v>
      </c>
    </row>
    <row r="26" spans="1:214" ht="13.5" thickTop="1" x14ac:dyDescent="0.2">
      <c r="A26" t="s">
        <v>319</v>
      </c>
      <c r="B26" s="410">
        <v>0.4</v>
      </c>
      <c r="D26" t="s">
        <v>435</v>
      </c>
      <c r="E26" s="1">
        <f>B47</f>
        <v>0.23076923076923078</v>
      </c>
      <c r="G26" t="s">
        <v>370</v>
      </c>
      <c r="H26" s="1">
        <f>B42</f>
        <v>10.4</v>
      </c>
      <c r="I26" t="s">
        <v>380</v>
      </c>
      <c r="J26" t="s">
        <v>374</v>
      </c>
      <c r="K26" s="1">
        <f>B40</f>
        <v>14.8</v>
      </c>
      <c r="L26" t="s">
        <v>380</v>
      </c>
      <c r="M26" t="s">
        <v>51</v>
      </c>
      <c r="N26">
        <v>350</v>
      </c>
      <c r="O26" t="s">
        <v>60</v>
      </c>
      <c r="P26" t="s">
        <v>51</v>
      </c>
      <c r="Q26">
        <v>350</v>
      </c>
      <c r="R26" t="s">
        <v>60</v>
      </c>
      <c r="V26" t="s">
        <v>458</v>
      </c>
      <c r="W26" s="1">
        <v>1</v>
      </c>
      <c r="X26" t="s">
        <v>459</v>
      </c>
      <c r="Y26" t="s">
        <v>458</v>
      </c>
      <c r="Z26" s="1">
        <v>1</v>
      </c>
      <c r="AA26" t="s">
        <v>459</v>
      </c>
      <c r="AC26" s="1"/>
      <c r="AD26" s="1"/>
      <c r="AE26" s="1"/>
      <c r="AI26" t="s">
        <v>51</v>
      </c>
      <c r="AJ26">
        <v>250</v>
      </c>
      <c r="AK26" t="s">
        <v>60</v>
      </c>
      <c r="AL26" t="s">
        <v>51</v>
      </c>
      <c r="AM26">
        <v>250</v>
      </c>
      <c r="AN26" t="s">
        <v>60</v>
      </c>
      <c r="AR26" t="s">
        <v>51</v>
      </c>
      <c r="AS26">
        <v>225</v>
      </c>
      <c r="AT26" t="s">
        <v>60</v>
      </c>
      <c r="AU26" t="s">
        <v>51</v>
      </c>
      <c r="AV26">
        <v>225</v>
      </c>
      <c r="AW26" t="s">
        <v>60</v>
      </c>
      <c r="BA26" t="s">
        <v>51</v>
      </c>
      <c r="BB26">
        <v>250</v>
      </c>
      <c r="BC26" t="s">
        <v>60</v>
      </c>
      <c r="BD26" t="s">
        <v>51</v>
      </c>
      <c r="BE26">
        <v>250</v>
      </c>
      <c r="BF26" t="s">
        <v>60</v>
      </c>
      <c r="BJ26" t="s">
        <v>51</v>
      </c>
      <c r="BK26">
        <f>BK27*BK28</f>
        <v>250</v>
      </c>
      <c r="BL26" t="s">
        <v>60</v>
      </c>
      <c r="BM26" t="s">
        <v>51</v>
      </c>
      <c r="BN26">
        <f>BN27*BN28</f>
        <v>250</v>
      </c>
      <c r="BO26" t="s">
        <v>60</v>
      </c>
      <c r="BS26" t="s">
        <v>226</v>
      </c>
      <c r="BT26">
        <v>75</v>
      </c>
      <c r="BU26" t="s">
        <v>52</v>
      </c>
      <c r="BV26" t="s">
        <v>151</v>
      </c>
      <c r="BW26">
        <v>1</v>
      </c>
      <c r="BX26" t="s">
        <v>152</v>
      </c>
      <c r="BY26" t="s">
        <v>98</v>
      </c>
      <c r="BZ26">
        <v>1</v>
      </c>
      <c r="CA26" t="s">
        <v>119</v>
      </c>
      <c r="CB26" t="s">
        <v>463</v>
      </c>
      <c r="CC26">
        <v>2.6599999999999999E-2</v>
      </c>
      <c r="CE26" t="s">
        <v>463</v>
      </c>
      <c r="CF26">
        <v>5.0099999999999999E-2</v>
      </c>
      <c r="CN26" t="s">
        <v>312</v>
      </c>
      <c r="CO26" s="17">
        <v>1</v>
      </c>
      <c r="CP26" t="s">
        <v>431</v>
      </c>
      <c r="CT26" t="s">
        <v>77</v>
      </c>
      <c r="CU26" s="428">
        <f>((CU35*CU31*CU29*CU49)+(CU34*CU32*CU30*CU50))</f>
        <v>6475</v>
      </c>
      <c r="CV26" t="s">
        <v>407</v>
      </c>
      <c r="CW26" t="s">
        <v>433</v>
      </c>
      <c r="CX26" s="1">
        <f>B49</f>
        <v>0.15</v>
      </c>
      <c r="CZ26" t="s">
        <v>240</v>
      </c>
      <c r="DA26" s="427">
        <f>(DA35*DA37*DA42*DA44*DA51)+(DA36*DA38*DA43*DA45*DA52)</f>
        <v>239.57499999999999</v>
      </c>
      <c r="DB26" t="s">
        <v>408</v>
      </c>
      <c r="DF26" t="s">
        <v>64</v>
      </c>
      <c r="DG26">
        <f>B29</f>
        <v>10</v>
      </c>
      <c r="DO26" t="s">
        <v>70</v>
      </c>
      <c r="DP26">
        <v>0.26</v>
      </c>
      <c r="ED26" t="s">
        <v>70</v>
      </c>
      <c r="EE26">
        <v>0.25</v>
      </c>
      <c r="EJ26" t="s">
        <v>64</v>
      </c>
      <c r="EK26">
        <v>0.04</v>
      </c>
      <c r="ES26" t="s">
        <v>70</v>
      </c>
      <c r="ET26">
        <v>0.25</v>
      </c>
      <c r="FH26" t="s">
        <v>290</v>
      </c>
      <c r="FI26">
        <v>0.25</v>
      </c>
      <c r="FW26" t="s">
        <v>285</v>
      </c>
      <c r="FX26">
        <v>0.25</v>
      </c>
      <c r="GL26" t="s">
        <v>279</v>
      </c>
      <c r="GM26">
        <v>0.25</v>
      </c>
      <c r="HA26" t="s">
        <v>284</v>
      </c>
      <c r="HB26">
        <v>0.25</v>
      </c>
      <c r="HD26" t="s">
        <v>456</v>
      </c>
      <c r="HE26" s="1">
        <f>H3</f>
        <v>2.5760346726538066E-2</v>
      </c>
      <c r="HF26" t="s">
        <v>24</v>
      </c>
    </row>
    <row r="27" spans="1:214" ht="12.75" customHeight="1" x14ac:dyDescent="0.2">
      <c r="A27" t="s">
        <v>420</v>
      </c>
      <c r="B27" s="410">
        <v>0.24</v>
      </c>
      <c r="D27" t="s">
        <v>434</v>
      </c>
      <c r="E27" s="1">
        <f>B48</f>
        <v>0.76923076923076927</v>
      </c>
      <c r="G27" t="s">
        <v>371</v>
      </c>
      <c r="H27" s="1">
        <f>B43</f>
        <v>28.5</v>
      </c>
      <c r="I27" t="s">
        <v>380</v>
      </c>
      <c r="J27" t="s">
        <v>375</v>
      </c>
      <c r="K27" s="1">
        <f>B41</f>
        <v>56.2</v>
      </c>
      <c r="L27" t="s">
        <v>380</v>
      </c>
      <c r="M27" t="s">
        <v>65</v>
      </c>
      <c r="N27">
        <v>1</v>
      </c>
      <c r="O27" t="s">
        <v>59</v>
      </c>
      <c r="P27" t="s">
        <v>65</v>
      </c>
      <c r="Q27">
        <v>1</v>
      </c>
      <c r="R27" t="s">
        <v>59</v>
      </c>
      <c r="V27" t="s">
        <v>49</v>
      </c>
      <c r="W27" s="1">
        <f>0.693/W28</f>
        <v>2.3099999999999999E-2</v>
      </c>
      <c r="Y27" t="s">
        <v>49</v>
      </c>
      <c r="Z27" s="1">
        <f>0.693/Z28</f>
        <v>2.3099999999999999E-2</v>
      </c>
      <c r="AB27" t="s">
        <v>65</v>
      </c>
      <c r="AC27">
        <v>25</v>
      </c>
      <c r="AD27">
        <v>25</v>
      </c>
      <c r="AE27">
        <v>25</v>
      </c>
      <c r="AF27">
        <v>1</v>
      </c>
      <c r="AG27">
        <v>1</v>
      </c>
      <c r="AH27" t="s">
        <v>119</v>
      </c>
      <c r="AI27" t="s">
        <v>65</v>
      </c>
      <c r="AJ27">
        <v>1</v>
      </c>
      <c r="AK27" t="s">
        <v>59</v>
      </c>
      <c r="AL27" t="s">
        <v>65</v>
      </c>
      <c r="AM27">
        <v>1</v>
      </c>
      <c r="AN27" t="s">
        <v>59</v>
      </c>
      <c r="AR27" t="s">
        <v>65</v>
      </c>
      <c r="AS27">
        <v>1</v>
      </c>
      <c r="AT27" t="s">
        <v>59</v>
      </c>
      <c r="AU27" t="s">
        <v>65</v>
      </c>
      <c r="AV27">
        <v>1</v>
      </c>
      <c r="AW27" t="s">
        <v>59</v>
      </c>
      <c r="BA27" t="s">
        <v>65</v>
      </c>
      <c r="BB27">
        <v>1</v>
      </c>
      <c r="BC27" t="s">
        <v>59</v>
      </c>
      <c r="BD27" t="s">
        <v>65</v>
      </c>
      <c r="BE27">
        <v>1</v>
      </c>
      <c r="BF27" t="s">
        <v>59</v>
      </c>
      <c r="BJ27" t="s">
        <v>378</v>
      </c>
      <c r="BK27">
        <v>50</v>
      </c>
      <c r="BL27" t="s">
        <v>389</v>
      </c>
      <c r="BM27" t="s">
        <v>378</v>
      </c>
      <c r="BN27">
        <v>50</v>
      </c>
      <c r="BO27" t="s">
        <v>389</v>
      </c>
      <c r="BS27" t="s">
        <v>221</v>
      </c>
      <c r="BT27">
        <v>75</v>
      </c>
      <c r="BU27" t="s">
        <v>52</v>
      </c>
      <c r="BV27" t="s">
        <v>153</v>
      </c>
      <c r="BW27">
        <v>1</v>
      </c>
      <c r="BX27" t="s">
        <v>152</v>
      </c>
      <c r="BY27" t="s">
        <v>83</v>
      </c>
      <c r="BZ27">
        <v>1</v>
      </c>
      <c r="CA27" t="s">
        <v>119</v>
      </c>
      <c r="CB27" t="s">
        <v>105</v>
      </c>
      <c r="CC27">
        <v>0.46500000000000002</v>
      </c>
      <c r="CE27" t="s">
        <v>105</v>
      </c>
      <c r="CF27">
        <v>0.72599999999999998</v>
      </c>
      <c r="CN27" t="s">
        <v>313</v>
      </c>
      <c r="CO27" s="17">
        <v>1</v>
      </c>
      <c r="CP27" t="s">
        <v>75</v>
      </c>
      <c r="CT27" t="s">
        <v>108</v>
      </c>
      <c r="CU27">
        <f>B36</f>
        <v>200</v>
      </c>
      <c r="CV27" t="s">
        <v>90</v>
      </c>
      <c r="CW27" t="s">
        <v>432</v>
      </c>
      <c r="CX27" s="1">
        <f>B50</f>
        <v>0.85</v>
      </c>
      <c r="CZ27" t="s">
        <v>97</v>
      </c>
      <c r="DA27">
        <f>B38</f>
        <v>0.78</v>
      </c>
      <c r="DB27" t="s">
        <v>56</v>
      </c>
      <c r="EB27" s="1"/>
      <c r="ED27" t="s">
        <v>317</v>
      </c>
      <c r="EE27" s="1">
        <f>B23</f>
        <v>8.0000000000000002E-3</v>
      </c>
      <c r="EQ27" s="1"/>
      <c r="ES27" t="s">
        <v>318</v>
      </c>
      <c r="ET27" s="1">
        <f>B24</f>
        <v>0.03</v>
      </c>
      <c r="FH27" t="s">
        <v>319</v>
      </c>
      <c r="FI27" s="406">
        <f>B26</f>
        <v>0.4</v>
      </c>
      <c r="FW27" t="s">
        <v>320</v>
      </c>
      <c r="FX27" s="17">
        <v>1</v>
      </c>
      <c r="GL27" t="s">
        <v>321</v>
      </c>
      <c r="GM27" s="406">
        <f>B25</f>
        <v>10</v>
      </c>
      <c r="HA27" t="s">
        <v>322</v>
      </c>
      <c r="HB27" s="406">
        <f>B27</f>
        <v>0.24</v>
      </c>
      <c r="HD27" t="s">
        <v>49</v>
      </c>
      <c r="HE27" s="1">
        <f>0.693/HE28</f>
        <v>2.3099999999999999E-2</v>
      </c>
    </row>
    <row r="28" spans="1:214" ht="15" thickBot="1" x14ac:dyDescent="0.25">
      <c r="A28" t="s">
        <v>396</v>
      </c>
      <c r="B28" s="410">
        <f>B24</f>
        <v>0.03</v>
      </c>
      <c r="G28" t="s">
        <v>131</v>
      </c>
      <c r="H28">
        <v>0.5</v>
      </c>
      <c r="I28" t="s">
        <v>132</v>
      </c>
      <c r="J28" t="s">
        <v>372</v>
      </c>
      <c r="K28" s="427">
        <f>(K31*K35*K29*K53)+(K32*K34*K30*K54)</f>
        <v>8513.0769230769238</v>
      </c>
      <c r="L28" t="s">
        <v>213</v>
      </c>
      <c r="M28" t="s">
        <v>462</v>
      </c>
      <c r="N28">
        <v>0.4</v>
      </c>
      <c r="P28" t="s">
        <v>462</v>
      </c>
      <c r="Q28">
        <v>0.4</v>
      </c>
      <c r="V28" t="s">
        <v>411</v>
      </c>
      <c r="W28" s="1">
        <f>B17</f>
        <v>30</v>
      </c>
      <c r="X28" t="s">
        <v>119</v>
      </c>
      <c r="Y28" t="s">
        <v>411</v>
      </c>
      <c r="Z28" s="1">
        <f>B17</f>
        <v>30</v>
      </c>
      <c r="AA28" t="s">
        <v>119</v>
      </c>
      <c r="AB28" t="s">
        <v>155</v>
      </c>
      <c r="AC28" s="1">
        <f t="shared" ref="AC28:AF29" si="0">8/24</f>
        <v>0.33333333333333331</v>
      </c>
      <c r="AD28" s="1">
        <f t="shared" si="0"/>
        <v>0.33333333333333331</v>
      </c>
      <c r="AE28" s="1">
        <f t="shared" si="0"/>
        <v>0.33333333333333331</v>
      </c>
      <c r="AF28" s="1">
        <f t="shared" si="0"/>
        <v>0.33333333333333331</v>
      </c>
      <c r="AG28" s="1">
        <f>8/24</f>
        <v>0.33333333333333331</v>
      </c>
      <c r="AI28" t="s">
        <v>462</v>
      </c>
      <c r="AJ28">
        <v>0.4</v>
      </c>
      <c r="AL28" t="s">
        <v>462</v>
      </c>
      <c r="AM28">
        <v>0.4</v>
      </c>
      <c r="AR28" t="s">
        <v>462</v>
      </c>
      <c r="AS28">
        <v>0.4</v>
      </c>
      <c r="BA28" t="s">
        <v>462</v>
      </c>
      <c r="BB28">
        <v>0.4</v>
      </c>
      <c r="BJ28" t="s">
        <v>377</v>
      </c>
      <c r="BK28">
        <v>5</v>
      </c>
      <c r="BL28" t="s">
        <v>390</v>
      </c>
      <c r="BM28" t="s">
        <v>377</v>
      </c>
      <c r="BN28">
        <v>5</v>
      </c>
      <c r="BO28" t="s">
        <v>390</v>
      </c>
      <c r="BS28" t="s">
        <v>174</v>
      </c>
      <c r="BT28">
        <v>26</v>
      </c>
      <c r="BU28" t="s">
        <v>119</v>
      </c>
      <c r="BW28">
        <f>1/1000</f>
        <v>1E-3</v>
      </c>
      <c r="BX28" t="s">
        <v>154</v>
      </c>
      <c r="BY28" t="s">
        <v>166</v>
      </c>
      <c r="BZ28">
        <v>1</v>
      </c>
      <c r="CA28" t="s">
        <v>80</v>
      </c>
      <c r="CB28" t="s">
        <v>166</v>
      </c>
      <c r="CC28">
        <v>1</v>
      </c>
      <c r="CD28" t="s">
        <v>117</v>
      </c>
      <c r="CE28" t="s">
        <v>166</v>
      </c>
      <c r="CF28">
        <v>1</v>
      </c>
      <c r="CG28" t="s">
        <v>117</v>
      </c>
      <c r="CN28" t="s">
        <v>314</v>
      </c>
      <c r="CO28" s="17">
        <v>1</v>
      </c>
      <c r="CP28" t="s">
        <v>75</v>
      </c>
      <c r="CT28" t="s">
        <v>127</v>
      </c>
      <c r="CU28">
        <f>B37</f>
        <v>100</v>
      </c>
      <c r="CV28" t="s">
        <v>90</v>
      </c>
      <c r="CZ28" t="s">
        <v>123</v>
      </c>
      <c r="DA28">
        <f>B39</f>
        <v>2.5</v>
      </c>
      <c r="DB28" t="s">
        <v>56</v>
      </c>
      <c r="FW28" t="s">
        <v>186</v>
      </c>
      <c r="FX28" s="1">
        <v>30</v>
      </c>
      <c r="HD28" t="s">
        <v>411</v>
      </c>
      <c r="HE28" s="1">
        <f>B17</f>
        <v>30</v>
      </c>
      <c r="HF28" t="s">
        <v>119</v>
      </c>
    </row>
    <row r="29" spans="1:214" ht="15.75" thickTop="1" x14ac:dyDescent="0.2">
      <c r="A29" t="s">
        <v>395</v>
      </c>
      <c r="B29" s="410">
        <f>B25</f>
        <v>10</v>
      </c>
      <c r="D29" s="103" t="s">
        <v>3</v>
      </c>
      <c r="E29" s="104"/>
      <c r="F29" s="105" t="s">
        <v>15</v>
      </c>
      <c r="G29" t="s">
        <v>67</v>
      </c>
      <c r="H29">
        <v>350</v>
      </c>
      <c r="I29" t="s">
        <v>52</v>
      </c>
      <c r="J29" t="s">
        <v>370</v>
      </c>
      <c r="K29" s="1">
        <f>B42</f>
        <v>10.4</v>
      </c>
      <c r="L29" t="s">
        <v>380</v>
      </c>
      <c r="M29" t="s">
        <v>463</v>
      </c>
      <c r="N29">
        <v>1</v>
      </c>
      <c r="P29" t="s">
        <v>463</v>
      </c>
      <c r="Q29">
        <v>1</v>
      </c>
      <c r="V29" t="s">
        <v>51</v>
      </c>
      <c r="W29">
        <v>250</v>
      </c>
      <c r="X29" t="s">
        <v>60</v>
      </c>
      <c r="Y29" t="s">
        <v>51</v>
      </c>
      <c r="Z29">
        <f>Z41*Z42</f>
        <v>250</v>
      </c>
      <c r="AA29" t="s">
        <v>60</v>
      </c>
      <c r="AB29" t="s">
        <v>158</v>
      </c>
      <c r="AC29" s="1">
        <f t="shared" si="0"/>
        <v>0.33333333333333331</v>
      </c>
      <c r="AD29" s="1">
        <f t="shared" si="0"/>
        <v>0.33333333333333331</v>
      </c>
      <c r="AE29" s="1">
        <f t="shared" si="0"/>
        <v>0.33333333333333331</v>
      </c>
      <c r="AF29" s="1">
        <f t="shared" si="0"/>
        <v>0.33333333333333331</v>
      </c>
      <c r="AG29" s="1">
        <f>8/24</f>
        <v>0.33333333333333331</v>
      </c>
      <c r="AI29" t="s">
        <v>463</v>
      </c>
      <c r="AJ29">
        <v>1</v>
      </c>
      <c r="AL29" t="s">
        <v>463</v>
      </c>
      <c r="AM29">
        <v>1</v>
      </c>
      <c r="AR29" t="s">
        <v>463</v>
      </c>
      <c r="AS29">
        <v>1</v>
      </c>
      <c r="AU29" t="s">
        <v>462</v>
      </c>
      <c r="AV29">
        <v>1</v>
      </c>
      <c r="BA29" t="s">
        <v>463</v>
      </c>
      <c r="BB29">
        <v>1</v>
      </c>
      <c r="BD29" t="s">
        <v>463</v>
      </c>
      <c r="BE29">
        <v>1</v>
      </c>
      <c r="BJ29" t="s">
        <v>65</v>
      </c>
      <c r="BK29">
        <v>1</v>
      </c>
      <c r="BL29" t="s">
        <v>59</v>
      </c>
      <c r="BM29" t="s">
        <v>65</v>
      </c>
      <c r="BN29">
        <v>1</v>
      </c>
      <c r="BO29" t="s">
        <v>59</v>
      </c>
      <c r="BS29" t="s">
        <v>473</v>
      </c>
      <c r="BT29">
        <f>BT14/BT16</f>
        <v>1</v>
      </c>
      <c r="BU29" s="2"/>
      <c r="BW29">
        <v>1000</v>
      </c>
      <c r="BX29" t="s">
        <v>157</v>
      </c>
      <c r="BY29" t="s">
        <v>238</v>
      </c>
      <c r="BZ29">
        <v>1</v>
      </c>
      <c r="CA29" t="s">
        <v>80</v>
      </c>
      <c r="CB29" t="s">
        <v>460</v>
      </c>
      <c r="CC29" s="1">
        <f>B10</f>
        <v>0.64300000000000002</v>
      </c>
      <c r="CD29" t="s">
        <v>121</v>
      </c>
      <c r="CE29" t="s">
        <v>460</v>
      </c>
      <c r="CF29" s="1">
        <f>B12</f>
        <v>1.82</v>
      </c>
      <c r="CG29" t="s">
        <v>121</v>
      </c>
      <c r="CT29" t="s">
        <v>223</v>
      </c>
      <c r="CU29">
        <f>B33</f>
        <v>10</v>
      </c>
      <c r="CV29" t="s">
        <v>78</v>
      </c>
      <c r="CZ29" t="s">
        <v>223</v>
      </c>
      <c r="DA29">
        <f>B33</f>
        <v>10</v>
      </c>
      <c r="DB29" t="s">
        <v>241</v>
      </c>
      <c r="FW29" t="s">
        <v>296</v>
      </c>
      <c r="FX29" s="1">
        <v>8.1999999999999993</v>
      </c>
      <c r="HD29" t="s">
        <v>156</v>
      </c>
      <c r="HE29">
        <v>0.3</v>
      </c>
    </row>
    <row r="30" spans="1:214" ht="15" x14ac:dyDescent="0.2">
      <c r="A30" t="s">
        <v>63</v>
      </c>
      <c r="B30" s="410">
        <v>0.04</v>
      </c>
      <c r="D30" s="106" t="s">
        <v>150</v>
      </c>
      <c r="E30" s="107" t="s">
        <v>456</v>
      </c>
      <c r="F30" s="108" t="s">
        <v>22</v>
      </c>
      <c r="G30" t="s">
        <v>73</v>
      </c>
      <c r="H30">
        <v>350</v>
      </c>
      <c r="I30" t="s">
        <v>52</v>
      </c>
      <c r="J30" t="s">
        <v>371</v>
      </c>
      <c r="K30" s="1">
        <f>B43</f>
        <v>28.5</v>
      </c>
      <c r="L30" t="s">
        <v>380</v>
      </c>
      <c r="M30" t="s">
        <v>105</v>
      </c>
      <c r="N30">
        <v>1</v>
      </c>
      <c r="P30" t="s">
        <v>105</v>
      </c>
      <c r="Q30">
        <v>1</v>
      </c>
      <c r="V30" t="s">
        <v>65</v>
      </c>
      <c r="W30">
        <v>1</v>
      </c>
      <c r="X30" t="s">
        <v>59</v>
      </c>
      <c r="Y30" t="s">
        <v>65</v>
      </c>
      <c r="Z30">
        <v>1</v>
      </c>
      <c r="AA30" t="s">
        <v>59</v>
      </c>
      <c r="AB30" t="s">
        <v>161</v>
      </c>
      <c r="AC30">
        <v>0.4</v>
      </c>
      <c r="AD30">
        <v>0.4</v>
      </c>
      <c r="AE30">
        <v>0.4</v>
      </c>
      <c r="AF30">
        <v>0.4</v>
      </c>
      <c r="AG30">
        <v>0.4</v>
      </c>
      <c r="AI30" t="s">
        <v>105</v>
      </c>
      <c r="AJ30">
        <f>N30</f>
        <v>1</v>
      </c>
      <c r="AL30" t="s">
        <v>105</v>
      </c>
      <c r="AM30">
        <f>Q30</f>
        <v>1</v>
      </c>
      <c r="AR30" t="s">
        <v>105</v>
      </c>
      <c r="AS30">
        <f>AJ30</f>
        <v>1</v>
      </c>
      <c r="AU30" t="s">
        <v>105</v>
      </c>
      <c r="AV30">
        <f>AM30</f>
        <v>1</v>
      </c>
      <c r="BA30" t="s">
        <v>105</v>
      </c>
      <c r="BB30">
        <f>AS30</f>
        <v>1</v>
      </c>
      <c r="BD30" t="s">
        <v>105</v>
      </c>
      <c r="BE30">
        <f>AV30</f>
        <v>1</v>
      </c>
      <c r="BS30" t="s">
        <v>474</v>
      </c>
      <c r="BT30">
        <f>BT15/BT16</f>
        <v>1</v>
      </c>
      <c r="BW30">
        <v>1000</v>
      </c>
      <c r="BX30" t="s">
        <v>376</v>
      </c>
      <c r="BY30" t="s">
        <v>239</v>
      </c>
      <c r="BZ30">
        <v>1</v>
      </c>
      <c r="CA30" t="s">
        <v>80</v>
      </c>
      <c r="CT30" t="s">
        <v>224</v>
      </c>
      <c r="CU30">
        <f>B34</f>
        <v>20</v>
      </c>
      <c r="CV30" t="s">
        <v>78</v>
      </c>
      <c r="CZ30" t="s">
        <v>224</v>
      </c>
      <c r="DA30">
        <f>B34</f>
        <v>20</v>
      </c>
      <c r="DB30" t="s">
        <v>241</v>
      </c>
      <c r="FX30">
        <v>1000</v>
      </c>
      <c r="FY30" t="s">
        <v>213</v>
      </c>
      <c r="HD30" t="s">
        <v>159</v>
      </c>
      <c r="HE30" s="1">
        <v>1.5</v>
      </c>
    </row>
    <row r="31" spans="1:214" x14ac:dyDescent="0.2">
      <c r="A31" t="s">
        <v>64</v>
      </c>
      <c r="B31" s="410">
        <v>0.2</v>
      </c>
      <c r="D31" s="106" t="s">
        <v>150</v>
      </c>
      <c r="E31" s="109">
        <f>E38</f>
        <v>1.1000011000011003E-3</v>
      </c>
      <c r="F31" s="110"/>
      <c r="G31" t="s">
        <v>100</v>
      </c>
      <c r="H31">
        <v>1</v>
      </c>
      <c r="I31" t="s">
        <v>119</v>
      </c>
      <c r="J31" t="s">
        <v>67</v>
      </c>
      <c r="K31">
        <v>350</v>
      </c>
      <c r="L31" t="s">
        <v>52</v>
      </c>
      <c r="M31" t="s">
        <v>114</v>
      </c>
      <c r="N31">
        <v>7.2999999999999995E-2</v>
      </c>
      <c r="O31" t="s">
        <v>115</v>
      </c>
      <c r="P31" t="s">
        <v>114</v>
      </c>
      <c r="Q31">
        <v>7.2999999999999995E-2</v>
      </c>
      <c r="R31" t="s">
        <v>115</v>
      </c>
      <c r="V31" t="s">
        <v>436</v>
      </c>
      <c r="W31" s="1">
        <f>B5</f>
        <v>1.7E-5</v>
      </c>
      <c r="X31" t="s">
        <v>72</v>
      </c>
      <c r="Y31" t="s">
        <v>436</v>
      </c>
      <c r="Z31" s="1">
        <f>B5</f>
        <v>1.7E-5</v>
      </c>
      <c r="AA31" t="s">
        <v>72</v>
      </c>
      <c r="AB31" t="s">
        <v>144</v>
      </c>
      <c r="AC31">
        <v>25</v>
      </c>
      <c r="AD31">
        <v>25</v>
      </c>
      <c r="AE31">
        <v>25</v>
      </c>
      <c r="AF31">
        <v>1</v>
      </c>
      <c r="AG31">
        <v>1</v>
      </c>
      <c r="AH31" t="s">
        <v>88</v>
      </c>
      <c r="AI31" t="s">
        <v>114</v>
      </c>
      <c r="AJ31">
        <v>0</v>
      </c>
      <c r="AK31" t="s">
        <v>115</v>
      </c>
      <c r="AL31" t="s">
        <v>114</v>
      </c>
      <c r="AM31">
        <v>0</v>
      </c>
      <c r="AN31" t="s">
        <v>115</v>
      </c>
      <c r="AR31" t="s">
        <v>116</v>
      </c>
      <c r="AS31">
        <f>8/24</f>
        <v>0.33333333333333331</v>
      </c>
      <c r="AT31" t="s">
        <v>117</v>
      </c>
      <c r="AU31" t="s">
        <v>114</v>
      </c>
      <c r="AV31">
        <f>8/24</f>
        <v>0.33333333333333331</v>
      </c>
      <c r="AW31" t="s">
        <v>115</v>
      </c>
      <c r="BA31" t="s">
        <v>116</v>
      </c>
      <c r="BB31">
        <f>8/24</f>
        <v>0.33333333333333331</v>
      </c>
      <c r="BC31" t="s">
        <v>117</v>
      </c>
      <c r="BD31" t="s">
        <v>114</v>
      </c>
      <c r="BE31">
        <f>8/24</f>
        <v>0.33333333333333331</v>
      </c>
      <c r="BF31" t="s">
        <v>115</v>
      </c>
      <c r="BJ31" t="s">
        <v>463</v>
      </c>
      <c r="BK31">
        <v>1.5699999999999999E-5</v>
      </c>
      <c r="BM31" t="s">
        <v>463</v>
      </c>
      <c r="BN31">
        <v>1.35E-4</v>
      </c>
      <c r="BW31">
        <v>365</v>
      </c>
      <c r="BX31" t="s">
        <v>52</v>
      </c>
      <c r="BY31" t="s">
        <v>465</v>
      </c>
      <c r="BZ31" s="1">
        <v>2.41E-4</v>
      </c>
      <c r="CT31" t="s">
        <v>67</v>
      </c>
      <c r="CU31">
        <v>350</v>
      </c>
      <c r="CV31" t="s">
        <v>52</v>
      </c>
      <c r="CZ31" t="s">
        <v>242</v>
      </c>
      <c r="DA31" s="1">
        <f>B40</f>
        <v>14.8</v>
      </c>
      <c r="DB31" t="s">
        <v>380</v>
      </c>
      <c r="HD31" t="s">
        <v>58</v>
      </c>
      <c r="HE31">
        <v>26</v>
      </c>
    </row>
    <row r="32" spans="1:214" ht="13.5" thickBot="1" x14ac:dyDescent="0.25">
      <c r="D32" s="111"/>
      <c r="E32" s="112" t="s">
        <v>33</v>
      </c>
      <c r="F32" s="113"/>
      <c r="G32" t="s">
        <v>83</v>
      </c>
      <c r="H32">
        <v>1</v>
      </c>
      <c r="J32" t="s">
        <v>73</v>
      </c>
      <c r="K32">
        <v>350</v>
      </c>
      <c r="L32" t="s">
        <v>52</v>
      </c>
      <c r="M32" t="s">
        <v>460</v>
      </c>
      <c r="N32" s="1">
        <f>B10</f>
        <v>0.64300000000000002</v>
      </c>
      <c r="O32" t="s">
        <v>430</v>
      </c>
      <c r="P32" t="s">
        <v>460</v>
      </c>
      <c r="Q32" s="1">
        <f>B12</f>
        <v>1.82</v>
      </c>
      <c r="R32" t="s">
        <v>121</v>
      </c>
      <c r="V32" t="s">
        <v>79</v>
      </c>
      <c r="W32">
        <v>8</v>
      </c>
      <c r="X32" t="s">
        <v>80</v>
      </c>
      <c r="Y32" t="s">
        <v>79</v>
      </c>
      <c r="Z32">
        <v>8</v>
      </c>
      <c r="AA32" t="s">
        <v>80</v>
      </c>
      <c r="AB32" t="s">
        <v>49</v>
      </c>
      <c r="AC32" s="1">
        <f>0.693/AC33</f>
        <v>2.3099999999999999E-2</v>
      </c>
      <c r="AD32" s="1">
        <f>0.693/AD33</f>
        <v>2.3099999999999999E-2</v>
      </c>
      <c r="AE32" s="1">
        <f>0.693/AE33</f>
        <v>2.3099999999999999E-2</v>
      </c>
      <c r="AF32" s="1">
        <f>0.693/AF33</f>
        <v>2.3099999999999999E-2</v>
      </c>
      <c r="AG32" s="1">
        <f>0.693/AG33</f>
        <v>2.3099999999999999E-2</v>
      </c>
      <c r="AI32" t="s">
        <v>460</v>
      </c>
      <c r="AJ32" s="1">
        <f>B10</f>
        <v>0.64300000000000002</v>
      </c>
      <c r="AK32" t="s">
        <v>121</v>
      </c>
      <c r="AL32" t="s">
        <v>460</v>
      </c>
      <c r="AM32" s="1">
        <f>B12</f>
        <v>1.82</v>
      </c>
      <c r="AN32" t="s">
        <v>121</v>
      </c>
      <c r="AR32" t="s">
        <v>460</v>
      </c>
      <c r="AS32" s="1">
        <f>B10</f>
        <v>0.64300000000000002</v>
      </c>
      <c r="AT32" t="s">
        <v>121</v>
      </c>
      <c r="AU32" t="s">
        <v>460</v>
      </c>
      <c r="AV32" s="1">
        <f>B12</f>
        <v>1.82</v>
      </c>
      <c r="AW32" t="s">
        <v>121</v>
      </c>
      <c r="BA32" t="s">
        <v>460</v>
      </c>
      <c r="BB32" s="1">
        <f>B10</f>
        <v>0.64300000000000002</v>
      </c>
      <c r="BC32" t="s">
        <v>121</v>
      </c>
      <c r="BD32" t="s">
        <v>460</v>
      </c>
      <c r="BE32" s="1">
        <f>B12</f>
        <v>1.82</v>
      </c>
      <c r="BF32" t="s">
        <v>121</v>
      </c>
      <c r="BJ32" t="s">
        <v>105</v>
      </c>
      <c r="BK32">
        <v>0.80900000000000005</v>
      </c>
      <c r="BM32" t="s">
        <v>105</v>
      </c>
      <c r="BN32">
        <v>0.71099999999999997</v>
      </c>
      <c r="BT32" s="1"/>
      <c r="BW32">
        <v>8760</v>
      </c>
      <c r="BX32" t="s">
        <v>237</v>
      </c>
      <c r="BY32" t="s">
        <v>105</v>
      </c>
      <c r="BZ32">
        <v>0.753</v>
      </c>
      <c r="CT32" t="s">
        <v>73</v>
      </c>
      <c r="CU32">
        <v>350</v>
      </c>
      <c r="CV32" t="s">
        <v>52</v>
      </c>
      <c r="CZ32" t="s">
        <v>162</v>
      </c>
      <c r="DA32" s="1">
        <f>B41</f>
        <v>56.2</v>
      </c>
      <c r="DB32" t="s">
        <v>380</v>
      </c>
      <c r="DY32" s="413"/>
      <c r="HD32" t="s">
        <v>65</v>
      </c>
      <c r="HE32" s="1">
        <v>70</v>
      </c>
    </row>
    <row r="33" spans="1:214" ht="13.15" customHeight="1" thickTop="1" x14ac:dyDescent="0.2">
      <c r="A33" t="s">
        <v>87</v>
      </c>
      <c r="B33" s="411">
        <v>10</v>
      </c>
      <c r="C33" t="s">
        <v>78</v>
      </c>
      <c r="D33" t="s">
        <v>485</v>
      </c>
      <c r="E33" s="1">
        <v>1</v>
      </c>
      <c r="G33" t="s">
        <v>98</v>
      </c>
      <c r="H33">
        <v>1</v>
      </c>
      <c r="J33" t="s">
        <v>100</v>
      </c>
      <c r="K33">
        <v>1</v>
      </c>
      <c r="L33" t="s">
        <v>119</v>
      </c>
      <c r="M33" t="s">
        <v>136</v>
      </c>
      <c r="N33">
        <v>0.68300000000000005</v>
      </c>
      <c r="O33" t="s">
        <v>115</v>
      </c>
      <c r="P33" t="s">
        <v>136</v>
      </c>
      <c r="Q33">
        <v>0.68300000000000005</v>
      </c>
      <c r="R33" t="s">
        <v>115</v>
      </c>
      <c r="W33">
        <v>24</v>
      </c>
      <c r="X33" t="s">
        <v>80</v>
      </c>
      <c r="Z33">
        <v>24</v>
      </c>
      <c r="AA33" t="s">
        <v>80</v>
      </c>
      <c r="AB33" t="s">
        <v>411</v>
      </c>
      <c r="AC33" s="1">
        <f>B17</f>
        <v>30</v>
      </c>
      <c r="AD33" s="1">
        <f>B17</f>
        <v>30</v>
      </c>
      <c r="AE33" s="1">
        <f>B17</f>
        <v>30</v>
      </c>
      <c r="AF33" s="1">
        <f>B17</f>
        <v>30</v>
      </c>
      <c r="AG33" s="1">
        <f>B17</f>
        <v>30</v>
      </c>
      <c r="AH33" t="s">
        <v>119</v>
      </c>
      <c r="AI33" t="s">
        <v>136</v>
      </c>
      <c r="AJ33">
        <f>8/24</f>
        <v>0.33333333333333331</v>
      </c>
      <c r="AK33" t="s">
        <v>115</v>
      </c>
      <c r="AL33" t="s">
        <v>136</v>
      </c>
      <c r="AM33">
        <f>8/24</f>
        <v>0.33333333333333331</v>
      </c>
      <c r="AN33" t="s">
        <v>115</v>
      </c>
      <c r="AR33" t="s">
        <v>136</v>
      </c>
      <c r="AS33">
        <v>0</v>
      </c>
      <c r="AT33" t="s">
        <v>115</v>
      </c>
      <c r="AU33" t="s">
        <v>136</v>
      </c>
      <c r="AV33">
        <v>0</v>
      </c>
      <c r="AW33" t="s">
        <v>115</v>
      </c>
      <c r="BA33" t="s">
        <v>136</v>
      </c>
      <c r="BB33">
        <v>0</v>
      </c>
      <c r="BC33" t="s">
        <v>115</v>
      </c>
      <c r="BD33" t="s">
        <v>136</v>
      </c>
      <c r="BE33">
        <v>0</v>
      </c>
      <c r="BF33" t="s">
        <v>115</v>
      </c>
      <c r="BJ33" t="s">
        <v>116</v>
      </c>
      <c r="BK33">
        <f>8/24</f>
        <v>0.33333333333333331</v>
      </c>
      <c r="BL33" t="s">
        <v>117</v>
      </c>
      <c r="BM33" t="s">
        <v>114</v>
      </c>
      <c r="BN33">
        <f>8/24</f>
        <v>0.33333333333333331</v>
      </c>
      <c r="BO33" t="s">
        <v>115</v>
      </c>
      <c r="BV33" t="s">
        <v>473</v>
      </c>
      <c r="BW33">
        <f>BW21/BW20</f>
        <v>1</v>
      </c>
      <c r="BY33" t="s">
        <v>174</v>
      </c>
      <c r="BZ33">
        <v>26</v>
      </c>
      <c r="CA33" t="s">
        <v>88</v>
      </c>
      <c r="CT33" t="s">
        <v>229</v>
      </c>
      <c r="CU33">
        <v>1</v>
      </c>
      <c r="CV33" t="s">
        <v>119</v>
      </c>
      <c r="CZ33" t="s">
        <v>243</v>
      </c>
      <c r="DA33" s="1">
        <f>B42</f>
        <v>10.4</v>
      </c>
      <c r="DB33" t="s">
        <v>380</v>
      </c>
      <c r="DY33" s="413"/>
      <c r="HD33" t="s">
        <v>391</v>
      </c>
      <c r="HE33" s="1">
        <f>1+((HE35*HE36*HE37)/(HE38*HE39))</f>
        <v>16.660043458695149</v>
      </c>
    </row>
    <row r="34" spans="1:214" x14ac:dyDescent="0.2">
      <c r="A34" t="s">
        <v>95</v>
      </c>
      <c r="B34" s="411">
        <v>20</v>
      </c>
      <c r="C34" t="s">
        <v>78</v>
      </c>
      <c r="D34" t="s">
        <v>51</v>
      </c>
      <c r="E34">
        <v>350</v>
      </c>
      <c r="F34" t="s">
        <v>52</v>
      </c>
      <c r="G34" t="s">
        <v>163</v>
      </c>
      <c r="H34">
        <v>0.54</v>
      </c>
      <c r="I34" t="s">
        <v>164</v>
      </c>
      <c r="J34" t="s">
        <v>98</v>
      </c>
      <c r="K34">
        <v>1</v>
      </c>
      <c r="L34" t="s">
        <v>119</v>
      </c>
      <c r="V34" t="s">
        <v>96</v>
      </c>
      <c r="W34">
        <f>B35</f>
        <v>60</v>
      </c>
      <c r="X34" t="s">
        <v>78</v>
      </c>
      <c r="Y34" t="s">
        <v>96</v>
      </c>
      <c r="Z34">
        <f>B35</f>
        <v>60</v>
      </c>
      <c r="AA34" t="s">
        <v>78</v>
      </c>
      <c r="AC34">
        <v>365</v>
      </c>
      <c r="AD34">
        <v>365</v>
      </c>
      <c r="AE34">
        <v>365</v>
      </c>
      <c r="AF34">
        <v>365</v>
      </c>
      <c r="AG34">
        <v>365</v>
      </c>
      <c r="AH34" t="s">
        <v>173</v>
      </c>
      <c r="BJ34" t="s">
        <v>460</v>
      </c>
      <c r="BK34" s="1">
        <f>B10</f>
        <v>0.64300000000000002</v>
      </c>
      <c r="BL34" t="s">
        <v>121</v>
      </c>
      <c r="BM34" t="s">
        <v>460</v>
      </c>
      <c r="BN34" s="1">
        <f>B12</f>
        <v>1.82</v>
      </c>
      <c r="BO34" t="s">
        <v>121</v>
      </c>
      <c r="BV34" t="s">
        <v>474</v>
      </c>
      <c r="BW34">
        <f>BW22/BW20</f>
        <v>1</v>
      </c>
      <c r="BZ34">
        <v>365</v>
      </c>
      <c r="CA34" t="s">
        <v>173</v>
      </c>
      <c r="CH34" s="429" t="s">
        <v>393</v>
      </c>
      <c r="CI34" s="429"/>
      <c r="CJ34" s="429"/>
      <c r="CK34" s="429"/>
      <c r="CL34" s="429"/>
      <c r="CT34" t="s">
        <v>98</v>
      </c>
      <c r="CU34">
        <v>1</v>
      </c>
      <c r="CV34" t="s">
        <v>119</v>
      </c>
      <c r="CZ34" t="s">
        <v>244</v>
      </c>
      <c r="DA34" s="1">
        <f>B43</f>
        <v>28.5</v>
      </c>
      <c r="DB34" t="s">
        <v>380</v>
      </c>
      <c r="DS34" s="1"/>
      <c r="DY34" s="413"/>
      <c r="EH34" s="1"/>
      <c r="HD34" t="s">
        <v>167</v>
      </c>
      <c r="HE34">
        <v>8.1999999999999993</v>
      </c>
    </row>
    <row r="35" spans="1:214" ht="13.15" customHeight="1" x14ac:dyDescent="0.2">
      <c r="A35" t="s">
        <v>96</v>
      </c>
      <c r="B35" s="411">
        <v>60</v>
      </c>
      <c r="C35" t="s">
        <v>78</v>
      </c>
      <c r="D35" t="s">
        <v>447</v>
      </c>
      <c r="E35" s="1">
        <f>B16</f>
        <v>4.8099999999999997E-2</v>
      </c>
      <c r="F35" t="s">
        <v>160</v>
      </c>
      <c r="G35" t="s">
        <v>165</v>
      </c>
      <c r="H35">
        <v>0.71</v>
      </c>
      <c r="I35" t="s">
        <v>164</v>
      </c>
      <c r="J35" t="s">
        <v>83</v>
      </c>
      <c r="K35">
        <v>1</v>
      </c>
      <c r="L35" t="s">
        <v>119</v>
      </c>
      <c r="M35" s="407"/>
      <c r="N35" s="407"/>
      <c r="O35" s="407"/>
      <c r="P35" s="407"/>
      <c r="Q35" s="407"/>
      <c r="R35" s="407"/>
      <c r="V35" t="s">
        <v>445</v>
      </c>
      <c r="W35" s="1">
        <f>B14</f>
        <v>2.3899999999999998E-9</v>
      </c>
      <c r="X35" t="s">
        <v>107</v>
      </c>
      <c r="Y35" t="s">
        <v>445</v>
      </c>
      <c r="Z35" s="1">
        <f>B14</f>
        <v>2.3899999999999998E-9</v>
      </c>
      <c r="AA35" t="s">
        <v>107</v>
      </c>
      <c r="AB35" t="s">
        <v>37</v>
      </c>
      <c r="AC35">
        <f>(AC31*AC32)/(1-EXP(-AC32*AC31))</f>
        <v>1.3163889228973786</v>
      </c>
      <c r="AD35">
        <f>(AD31*AD32)/(1-EXP(-AD32*AD31))</f>
        <v>1.3163889228973786</v>
      </c>
      <c r="AE35">
        <f>(AE31*AE32)/(1-EXP(-AE32*AE31))</f>
        <v>1.3163889228973786</v>
      </c>
      <c r="AF35">
        <f>(AF31*AF32)/(1-EXP(-AF32*AF31))</f>
        <v>1.0115944671045347</v>
      </c>
      <c r="AG35">
        <f>(AG31*AG32)/(1-EXP(-AG32*AG31))</f>
        <v>1.0115944671045347</v>
      </c>
      <c r="BS35" s="1"/>
      <c r="BT35" s="1"/>
      <c r="BZ35">
        <v>1000</v>
      </c>
      <c r="CA35" t="s">
        <v>179</v>
      </c>
      <c r="CH35" s="429"/>
      <c r="CI35" s="429"/>
      <c r="CJ35" s="429"/>
      <c r="CK35" s="429"/>
      <c r="CL35" s="429"/>
      <c r="CT35" t="s">
        <v>83</v>
      </c>
      <c r="CU35">
        <v>1</v>
      </c>
      <c r="CV35" t="s">
        <v>119</v>
      </c>
      <c r="CZ35" t="s">
        <v>246</v>
      </c>
      <c r="DA35">
        <v>350</v>
      </c>
      <c r="DB35" t="s">
        <v>245</v>
      </c>
      <c r="DS35" s="1"/>
      <c r="DY35" s="413"/>
      <c r="EH35" s="1"/>
      <c r="HD35" t="s">
        <v>131</v>
      </c>
      <c r="HE35" s="4">
        <v>5</v>
      </c>
      <c r="HF35" t="s">
        <v>170</v>
      </c>
    </row>
    <row r="36" spans="1:214" x14ac:dyDescent="0.2">
      <c r="A36" t="s">
        <v>108</v>
      </c>
      <c r="B36" s="411">
        <v>200</v>
      </c>
      <c r="C36" t="s">
        <v>90</v>
      </c>
      <c r="D36" t="s">
        <v>65</v>
      </c>
      <c r="E36">
        <v>1</v>
      </c>
      <c r="F36" t="s">
        <v>119</v>
      </c>
      <c r="G36" t="s">
        <v>168</v>
      </c>
      <c r="H36">
        <v>24</v>
      </c>
      <c r="I36" t="s">
        <v>80</v>
      </c>
      <c r="J36" t="s">
        <v>238</v>
      </c>
      <c r="K36">
        <v>24</v>
      </c>
      <c r="L36" t="s">
        <v>80</v>
      </c>
      <c r="M36" s="407"/>
      <c r="N36" s="407"/>
      <c r="O36" s="407"/>
      <c r="P36" s="407"/>
      <c r="Q36" s="407"/>
      <c r="R36" s="407"/>
      <c r="V36" t="s">
        <v>464</v>
      </c>
      <c r="W36">
        <v>1</v>
      </c>
      <c r="Y36" t="s">
        <v>464</v>
      </c>
      <c r="Z36">
        <v>1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 t="s">
        <v>179</v>
      </c>
      <c r="BK36" s="429" t="s">
        <v>405</v>
      </c>
      <c r="BL36" s="429"/>
      <c r="BM36" s="429"/>
      <c r="BN36" s="429"/>
      <c r="BO36" s="429"/>
      <c r="BZ36">
        <v>1000</v>
      </c>
      <c r="CA36" t="s">
        <v>50</v>
      </c>
      <c r="CH36" s="429"/>
      <c r="CI36" s="429"/>
      <c r="CJ36" s="429"/>
      <c r="CK36" s="429"/>
      <c r="CL36" s="429"/>
      <c r="CT36" t="s">
        <v>382</v>
      </c>
      <c r="CU36">
        <v>24</v>
      </c>
      <c r="CV36" t="s">
        <v>80</v>
      </c>
      <c r="CZ36" t="s">
        <v>247</v>
      </c>
      <c r="DA36">
        <v>350</v>
      </c>
      <c r="DB36" t="s">
        <v>245</v>
      </c>
      <c r="DS36" s="1"/>
      <c r="DY36" s="414"/>
      <c r="EH36" s="1"/>
      <c r="HD36" t="s">
        <v>171</v>
      </c>
      <c r="HE36" s="4">
        <v>5</v>
      </c>
      <c r="HF36" t="s">
        <v>172</v>
      </c>
    </row>
    <row r="37" spans="1:214" x14ac:dyDescent="0.2">
      <c r="A37" t="s">
        <v>127</v>
      </c>
      <c r="B37" s="411">
        <v>100</v>
      </c>
      <c r="C37" t="s">
        <v>90</v>
      </c>
      <c r="D37" t="s">
        <v>162</v>
      </c>
      <c r="E37">
        <f>B44</f>
        <v>54</v>
      </c>
      <c r="F37" t="s">
        <v>90</v>
      </c>
      <c r="G37" t="s">
        <v>168</v>
      </c>
      <c r="H37">
        <v>24</v>
      </c>
      <c r="I37" t="s">
        <v>80</v>
      </c>
      <c r="J37" t="s">
        <v>239</v>
      </c>
      <c r="K37">
        <v>24</v>
      </c>
      <c r="L37" t="s">
        <v>80</v>
      </c>
      <c r="V37" t="s">
        <v>452</v>
      </c>
      <c r="W37" s="1">
        <f>W26/((W32/W33)*W29*W30*W31*W34)</f>
        <v>11.764705882352942</v>
      </c>
      <c r="X37" t="s">
        <v>36</v>
      </c>
      <c r="Y37" t="s">
        <v>452</v>
      </c>
      <c r="Z37" s="1">
        <f>(Z26*Z30*Z27)/((1-EXP(-Z27))*Z30*Z31*Z29*Z43*(Z32/Z33)*Z34)</f>
        <v>11.901111377700412</v>
      </c>
      <c r="AA37" t="s">
        <v>37</v>
      </c>
      <c r="AB37" t="s">
        <v>451</v>
      </c>
      <c r="AC37" s="1">
        <f>(AC5/(AC9*AC16*AC8*AC11*(1/AC6)))*AC35</f>
        <v>1.094710122991583</v>
      </c>
      <c r="AD37" s="1">
        <f>(AD5/(AD9*AD16*AD8*AD11*(1/AD6)))*AD35</f>
        <v>2.189420245983166</v>
      </c>
      <c r="AE37" s="1">
        <f>(AE5/(AE9*AE16*AE8*AE11*(1/AE6)))*AE35</f>
        <v>1.216344581101759</v>
      </c>
      <c r="AF37" s="1">
        <f>(AF5/(AF9*AF16*AF8*AF11*(1/AF6)))*AF35</f>
        <v>0.25492206063240336</v>
      </c>
      <c r="AG37" s="1">
        <f>(AG5/(AG9*AG16*AG8*AG11*(1/AG6)))*AG35</f>
        <v>0.25492206063240336</v>
      </c>
      <c r="BK37" s="429"/>
      <c r="BL37" s="429"/>
      <c r="BM37" s="429"/>
      <c r="BN37" s="429"/>
      <c r="BO37" s="429"/>
      <c r="BY37" t="s">
        <v>473</v>
      </c>
      <c r="BZ37">
        <f>BZ27/BZ25</f>
        <v>1</v>
      </c>
      <c r="CH37" s="429"/>
      <c r="CI37" s="429"/>
      <c r="CJ37" s="429"/>
      <c r="CK37" s="429"/>
      <c r="CL37" s="429"/>
      <c r="CT37" t="s">
        <v>239</v>
      </c>
      <c r="CU37">
        <v>24</v>
      </c>
      <c r="CV37" t="s">
        <v>80</v>
      </c>
      <c r="CZ37" t="s">
        <v>227</v>
      </c>
      <c r="DA37">
        <v>1</v>
      </c>
      <c r="DB37" t="s">
        <v>119</v>
      </c>
      <c r="DS37" s="1"/>
      <c r="DY37" s="413"/>
      <c r="EH37" s="1"/>
      <c r="HD37" t="s">
        <v>175</v>
      </c>
      <c r="HE37" s="4">
        <f>(0.0112*HE39*HE39)^0.5+HE40*(1-EXP((-HE38*HE39)/(HE35*HE36*HE40)))</f>
        <v>6.2013772096432787</v>
      </c>
      <c r="HF37" t="s">
        <v>176</v>
      </c>
    </row>
    <row r="38" spans="1:214" x14ac:dyDescent="0.2">
      <c r="A38" t="s">
        <v>414</v>
      </c>
      <c r="B38" s="411">
        <v>0.78</v>
      </c>
      <c r="D38" t="s">
        <v>451</v>
      </c>
      <c r="E38" s="1">
        <f>E33/(E35*E34*E36*E37)</f>
        <v>1.1000011000011003E-3</v>
      </c>
      <c r="F38" t="s">
        <v>22</v>
      </c>
      <c r="G38" t="s">
        <v>151</v>
      </c>
      <c r="H38">
        <v>1</v>
      </c>
      <c r="I38" t="s">
        <v>152</v>
      </c>
      <c r="J38" t="s">
        <v>369</v>
      </c>
      <c r="K38">
        <v>0.25</v>
      </c>
      <c r="V38" t="s">
        <v>477</v>
      </c>
      <c r="W38" s="1">
        <f>(W26)/((W32/W33)*W29*W30*W35*(1/365))</f>
        <v>1832635983.2635987</v>
      </c>
      <c r="X38" t="s">
        <v>36</v>
      </c>
      <c r="Y38" t="s">
        <v>477</v>
      </c>
      <c r="Z38" s="1">
        <f>(Z26*Z30*Z27)/((1-EXP(-Z27*Z30))*Z35*Z29*Z43*(Z32/Z33)*Z36*(Z43/Z44))</f>
        <v>1853884420.8861349</v>
      </c>
      <c r="AA38" t="s">
        <v>37</v>
      </c>
      <c r="AB38" t="s">
        <v>452</v>
      </c>
      <c r="AC38" s="1">
        <f>(AC5/(AC24*AC20*AC8*AC11*(1/AC40)*((8/1)/(24/1))*AC36))*AC35</f>
        <v>21052070.6755808</v>
      </c>
      <c r="AD38" s="1">
        <f>(AD5/(AD24*AD20*AD8*((8/1)/(24/1))*AD11*(1/AD40)*AD36))*AD35</f>
        <v>21052070.6755808</v>
      </c>
      <c r="AE38" s="1">
        <f>(AE5/(AE24*AE20*AE8*((8/1)/(24/1))*AE11*(1/AE40)*AE36))*AE35</f>
        <v>23391189.63953422</v>
      </c>
      <c r="AF38" s="1">
        <f>(AF5/(AF24*AF20*AF8*AF11*(1/AF41)*AF28*AF19*AF36))*AF35</f>
        <v>9236.8025257785994</v>
      </c>
      <c r="AG38" s="1">
        <v>432</v>
      </c>
      <c r="BK38" s="429"/>
      <c r="BL38" s="429"/>
      <c r="BM38" s="429"/>
      <c r="BN38" s="429"/>
      <c r="BO38" s="429"/>
      <c r="BY38" t="s">
        <v>474</v>
      </c>
      <c r="BZ38">
        <f>BZ26/BZ25</f>
        <v>1</v>
      </c>
      <c r="CT38" t="s">
        <v>383</v>
      </c>
      <c r="CU38">
        <v>1</v>
      </c>
      <c r="CZ38" t="s">
        <v>228</v>
      </c>
      <c r="DA38">
        <v>1</v>
      </c>
      <c r="DB38" t="s">
        <v>119</v>
      </c>
      <c r="DY38" s="413"/>
      <c r="HD38" t="s">
        <v>178</v>
      </c>
      <c r="HE38" s="4">
        <v>0.18</v>
      </c>
      <c r="HF38" t="s">
        <v>170</v>
      </c>
    </row>
    <row r="39" spans="1:214" x14ac:dyDescent="0.2">
      <c r="A39" t="s">
        <v>415</v>
      </c>
      <c r="B39" s="411">
        <v>2.5</v>
      </c>
      <c r="D39" t="s">
        <v>435</v>
      </c>
      <c r="E39" s="1">
        <f>B58</f>
        <v>0</v>
      </c>
      <c r="G39" t="s">
        <v>153</v>
      </c>
      <c r="H39">
        <v>1</v>
      </c>
      <c r="I39" t="s">
        <v>152</v>
      </c>
      <c r="J39" t="s">
        <v>155</v>
      </c>
      <c r="K39">
        <v>1.752</v>
      </c>
      <c r="L39" t="s">
        <v>117</v>
      </c>
      <c r="V39" t="s">
        <v>452</v>
      </c>
      <c r="W39" s="1">
        <f>(W26*W27*W30)/((W32/W33)*(1-EXP(-W27*W30))*W31*W34*W29*W30)</f>
        <v>11.901111377700412</v>
      </c>
      <c r="X39" t="s">
        <v>37</v>
      </c>
      <c r="Y39" t="s">
        <v>452</v>
      </c>
      <c r="Z39" s="1">
        <f>Z26/((Z31*Z29*Z43*(Z32/Z33)*Z34))</f>
        <v>11.76470588235294</v>
      </c>
      <c r="AA39" t="s">
        <v>36</v>
      </c>
      <c r="AB39" t="s">
        <v>453</v>
      </c>
      <c r="AC39" s="1">
        <f>(AC5/(AC23*AC22*AC29*AC19*AC8*(1/AC34)*AC11))*AC35</f>
        <v>1.8074556370816672</v>
      </c>
      <c r="AD39" s="1">
        <f>(AD5/(AD23*AD22*AD29*AD21*AD8*(1/AD34)*AD11))*AD35</f>
        <v>4.5186390927041682</v>
      </c>
      <c r="AE39" s="1">
        <f>(AE5/(AE23*AE22*AE29*AE19*AE8*(1/AE34)*AE11))*AE35</f>
        <v>2.0082840412018528</v>
      </c>
      <c r="AF39" s="1">
        <f>(AF5/(AF23*AF22*(AF28+AF29*AF21)*AF8*(1/AF34)*AF11))*AF35</f>
        <v>0.99211459156244131</v>
      </c>
      <c r="AG39" s="1">
        <f>(AG5/(AG24*AG20*AG8*AG11*(1/AG42)*(AG28+(AG29*AG30))*AG36))*AG35</f>
        <v>591294.52702966309</v>
      </c>
      <c r="BK39" s="429"/>
      <c r="BL39" s="429"/>
      <c r="BM39" s="429"/>
      <c r="BN39" s="429"/>
      <c r="BO39" s="429"/>
      <c r="BT39" s="7"/>
      <c r="BU39" s="2"/>
      <c r="CT39" t="s">
        <v>155</v>
      </c>
      <c r="CU39">
        <v>12.167999999999999</v>
      </c>
      <c r="CV39" t="s">
        <v>117</v>
      </c>
      <c r="CZ39" t="s">
        <v>229</v>
      </c>
      <c r="DA39">
        <v>1</v>
      </c>
      <c r="DB39" t="s">
        <v>119</v>
      </c>
      <c r="DY39" s="413"/>
      <c r="HD39" t="s">
        <v>180</v>
      </c>
      <c r="HE39" s="4">
        <v>55</v>
      </c>
      <c r="HF39" t="s">
        <v>176</v>
      </c>
    </row>
    <row r="40" spans="1:214" ht="15" customHeight="1" x14ac:dyDescent="0.2">
      <c r="A40" t="s">
        <v>374</v>
      </c>
      <c r="B40" s="410">
        <v>14.8</v>
      </c>
      <c r="C40" t="s">
        <v>380</v>
      </c>
      <c r="D40" t="s">
        <v>434</v>
      </c>
      <c r="E40" s="1">
        <f>B59</f>
        <v>0</v>
      </c>
      <c r="H40">
        <f>1/1000</f>
        <v>1E-3</v>
      </c>
      <c r="I40" t="s">
        <v>154</v>
      </c>
      <c r="J40" t="s">
        <v>158</v>
      </c>
      <c r="K40">
        <v>16.416</v>
      </c>
      <c r="L40" t="s">
        <v>117</v>
      </c>
      <c r="V40" t="s">
        <v>477</v>
      </c>
      <c r="W40" s="1">
        <f>(W26*W27*W30)/((W32/W33)*(1-EXP(-W27*W30))*W35*W29*W30*(1/365))</f>
        <v>1853884420.8861349</v>
      </c>
      <c r="X40" t="s">
        <v>37</v>
      </c>
      <c r="Y40" t="s">
        <v>477</v>
      </c>
      <c r="Z40" s="1">
        <f>Z26/(Z35*Z29*(1/Z44)*Z43*(Z32/Z33)*Z36)</f>
        <v>1832635983.2635984</v>
      </c>
      <c r="AA40" t="s">
        <v>36</v>
      </c>
      <c r="AB40" t="s">
        <v>148</v>
      </c>
      <c r="AC40" s="1">
        <f>B18</f>
        <v>1359344473.5814338</v>
      </c>
      <c r="AD40" s="1">
        <f>B18</f>
        <v>1359344473.5814338</v>
      </c>
      <c r="AE40" s="1">
        <f>B18</f>
        <v>1359344473.5814338</v>
      </c>
      <c r="AG40" s="1">
        <f>(AG5/(AG23*AG22*(AG28+AG29*AG21)*AG8*(1/AG34)*AG11))*AG35</f>
        <v>0.99211459156244131</v>
      </c>
      <c r="BT40" s="7"/>
      <c r="BU40" s="2"/>
      <c r="CT40" t="s">
        <v>158</v>
      </c>
      <c r="CU40">
        <v>10.007999999999999</v>
      </c>
      <c r="CV40" t="s">
        <v>117</v>
      </c>
      <c r="CZ40" t="s">
        <v>409</v>
      </c>
      <c r="DA40">
        <v>24</v>
      </c>
      <c r="DB40" t="s">
        <v>80</v>
      </c>
      <c r="DY40" s="413"/>
      <c r="HD40" t="s">
        <v>181</v>
      </c>
      <c r="HE40" s="4">
        <v>5</v>
      </c>
      <c r="HF40" t="s">
        <v>176</v>
      </c>
    </row>
    <row r="41" spans="1:214" ht="15" thickBot="1" x14ac:dyDescent="0.25">
      <c r="A41" t="s">
        <v>375</v>
      </c>
      <c r="B41" s="410">
        <v>56.2</v>
      </c>
      <c r="C41" t="s">
        <v>380</v>
      </c>
      <c r="H41">
        <v>1000</v>
      </c>
      <c r="I41" t="s">
        <v>157</v>
      </c>
      <c r="J41" t="s">
        <v>161</v>
      </c>
      <c r="K41">
        <v>0.4</v>
      </c>
      <c r="Y41" t="s">
        <v>378</v>
      </c>
      <c r="Z41">
        <v>50</v>
      </c>
      <c r="AA41" t="s">
        <v>194</v>
      </c>
      <c r="AB41" s="5" t="s">
        <v>184</v>
      </c>
      <c r="AF41" s="6">
        <f>B19</f>
        <v>776129.4078035407</v>
      </c>
      <c r="AH41" s="5" t="s">
        <v>149</v>
      </c>
      <c r="BT41" s="1"/>
      <c r="CT41" t="s">
        <v>161</v>
      </c>
      <c r="CU41">
        <v>0.4</v>
      </c>
      <c r="CZ41" t="s">
        <v>410</v>
      </c>
      <c r="DA41">
        <v>24</v>
      </c>
      <c r="DB41" t="s">
        <v>80</v>
      </c>
      <c r="DY41" s="413"/>
      <c r="HD41" t="s">
        <v>182</v>
      </c>
      <c r="HE41" s="4">
        <v>5</v>
      </c>
      <c r="HF41" t="s">
        <v>176</v>
      </c>
    </row>
    <row r="42" spans="1:214" ht="13.9" customHeight="1" thickTop="1" x14ac:dyDescent="0.2">
      <c r="A42" t="s">
        <v>370</v>
      </c>
      <c r="B42" s="410">
        <v>10.4</v>
      </c>
      <c r="C42" t="s">
        <v>380</v>
      </c>
      <c r="D42" s="103" t="s">
        <v>3</v>
      </c>
      <c r="E42" s="104"/>
      <c r="F42" s="105" t="s">
        <v>15</v>
      </c>
      <c r="H42">
        <v>1000</v>
      </c>
      <c r="I42" t="s">
        <v>376</v>
      </c>
      <c r="J42" t="s">
        <v>466</v>
      </c>
      <c r="K42">
        <v>0.4</v>
      </c>
      <c r="Y42" t="s">
        <v>377</v>
      </c>
      <c r="Z42">
        <v>5</v>
      </c>
      <c r="AA42" t="s">
        <v>297</v>
      </c>
      <c r="AB42" s="5" t="s">
        <v>185</v>
      </c>
      <c r="AF42" s="5"/>
      <c r="AG42" s="6">
        <f>B20</f>
        <v>69557565.807898715</v>
      </c>
      <c r="AH42" s="5"/>
      <c r="AI42" s="5"/>
      <c r="AJ42" s="5"/>
      <c r="AK42" s="5"/>
      <c r="CT42" t="s">
        <v>466</v>
      </c>
      <c r="CU42">
        <v>0.4</v>
      </c>
      <c r="CZ42" t="s">
        <v>151</v>
      </c>
      <c r="DA42">
        <v>1</v>
      </c>
      <c r="DB42" t="s">
        <v>248</v>
      </c>
    </row>
    <row r="43" spans="1:214" ht="13.15" customHeight="1" x14ac:dyDescent="0.2">
      <c r="A43" t="s">
        <v>371</v>
      </c>
      <c r="B43" s="410">
        <v>28.5</v>
      </c>
      <c r="C43" t="s">
        <v>380</v>
      </c>
      <c r="D43" s="106" t="s">
        <v>150</v>
      </c>
      <c r="E43" s="107" t="s">
        <v>456</v>
      </c>
      <c r="F43" s="108" t="s">
        <v>24</v>
      </c>
      <c r="G43" t="s">
        <v>369</v>
      </c>
      <c r="H43">
        <v>0.25</v>
      </c>
      <c r="J43" t="s">
        <v>465</v>
      </c>
      <c r="K43">
        <v>1</v>
      </c>
      <c r="Y43" t="s">
        <v>298</v>
      </c>
      <c r="Z43">
        <v>1</v>
      </c>
      <c r="AA43" t="s">
        <v>253</v>
      </c>
      <c r="AF43" s="429" t="s">
        <v>392</v>
      </c>
      <c r="AG43" s="429"/>
      <c r="AH43" s="429"/>
      <c r="AI43" s="5"/>
      <c r="AJ43" s="5"/>
      <c r="AK43" s="5"/>
      <c r="BT43" s="1"/>
      <c r="CT43" t="s">
        <v>465</v>
      </c>
      <c r="CU43">
        <v>1</v>
      </c>
      <c r="CZ43" t="s">
        <v>153</v>
      </c>
      <c r="DA43">
        <v>1</v>
      </c>
      <c r="DB43" t="s">
        <v>248</v>
      </c>
    </row>
    <row r="44" spans="1:214" x14ac:dyDescent="0.2">
      <c r="A44" t="s">
        <v>162</v>
      </c>
      <c r="B44" s="411">
        <v>54</v>
      </c>
      <c r="C44" t="s">
        <v>90</v>
      </c>
      <c r="D44" s="106" t="s">
        <v>177</v>
      </c>
      <c r="E44" s="109">
        <f>E54</f>
        <v>5.5000055000055013E-4</v>
      </c>
      <c r="F44" s="110"/>
      <c r="H44">
        <v>365</v>
      </c>
      <c r="I44" t="s">
        <v>52</v>
      </c>
      <c r="J44" t="s">
        <v>105</v>
      </c>
      <c r="K44">
        <v>1</v>
      </c>
      <c r="Z44">
        <v>365</v>
      </c>
      <c r="AA44" t="s">
        <v>145</v>
      </c>
      <c r="AF44" s="429"/>
      <c r="AG44" s="429"/>
      <c r="AH44" s="429"/>
      <c r="CT44" t="s">
        <v>105</v>
      </c>
      <c r="CU44">
        <v>1</v>
      </c>
      <c r="CZ44" t="s">
        <v>249</v>
      </c>
      <c r="DA44">
        <v>0.54</v>
      </c>
      <c r="DB44" t="s">
        <v>251</v>
      </c>
    </row>
    <row r="45" spans="1:214" ht="12.75" customHeight="1" thickBot="1" x14ac:dyDescent="0.25">
      <c r="A45" t="s">
        <v>254</v>
      </c>
      <c r="B45" s="411">
        <v>256</v>
      </c>
      <c r="C45" t="s">
        <v>380</v>
      </c>
      <c r="D45" s="111" t="s">
        <v>10</v>
      </c>
      <c r="E45" s="112" t="s">
        <v>33</v>
      </c>
      <c r="F45" s="113"/>
      <c r="H45">
        <v>8760</v>
      </c>
      <c r="I45" t="s">
        <v>237</v>
      </c>
      <c r="J45" t="s">
        <v>169</v>
      </c>
      <c r="K45">
        <v>26</v>
      </c>
      <c r="L45" t="s">
        <v>88</v>
      </c>
      <c r="AB45" s="5"/>
      <c r="AC45" s="5"/>
      <c r="AF45" s="429"/>
      <c r="AG45" s="429"/>
      <c r="AH45" s="429"/>
      <c r="AI45" s="5"/>
      <c r="AJ45" s="5"/>
      <c r="AK45" s="5"/>
      <c r="CT45" t="s">
        <v>299</v>
      </c>
      <c r="CU45">
        <v>40</v>
      </c>
      <c r="CV45" t="s">
        <v>88</v>
      </c>
      <c r="CZ45" t="s">
        <v>250</v>
      </c>
      <c r="DA45">
        <v>0.71</v>
      </c>
      <c r="DB45" t="s">
        <v>251</v>
      </c>
    </row>
    <row r="46" spans="1:214" ht="13.5" thickTop="1" x14ac:dyDescent="0.2">
      <c r="A46" t="s">
        <v>255</v>
      </c>
      <c r="B46" s="411">
        <v>615</v>
      </c>
      <c r="C46" t="s">
        <v>380</v>
      </c>
      <c r="D46" t="s">
        <v>485</v>
      </c>
      <c r="E46" s="1">
        <v>1</v>
      </c>
      <c r="G46" t="s">
        <v>46</v>
      </c>
      <c r="H46">
        <f>H48</f>
        <v>0.03</v>
      </c>
      <c r="K46">
        <v>365</v>
      </c>
      <c r="L46" t="s">
        <v>173</v>
      </c>
      <c r="AB46" s="5"/>
      <c r="AC46" s="9"/>
      <c r="AI46" s="5"/>
      <c r="AJ46" s="5"/>
      <c r="AK46" s="5"/>
      <c r="CU46">
        <v>365</v>
      </c>
      <c r="CV46" t="s">
        <v>173</v>
      </c>
      <c r="DA46">
        <v>365</v>
      </c>
      <c r="DB46" t="s">
        <v>245</v>
      </c>
    </row>
    <row r="47" spans="1:214" ht="15" x14ac:dyDescent="0.2">
      <c r="A47" t="s">
        <v>435</v>
      </c>
      <c r="B47" s="410">
        <f>6/26</f>
        <v>0.23076923076923078</v>
      </c>
      <c r="D47" t="s">
        <v>51</v>
      </c>
      <c r="E47">
        <v>350</v>
      </c>
      <c r="F47" t="s">
        <v>52</v>
      </c>
      <c r="G47" t="s">
        <v>54</v>
      </c>
      <c r="H47">
        <f>H49</f>
        <v>0.26</v>
      </c>
      <c r="K47">
        <v>1000</v>
      </c>
      <c r="L47" t="s">
        <v>179</v>
      </c>
      <c r="W47" s="7"/>
      <c r="X47" s="2"/>
      <c r="Y47" s="2"/>
      <c r="Z47" s="2"/>
      <c r="AA47" s="2"/>
      <c r="AB47" s="5"/>
      <c r="AC47" s="5"/>
      <c r="AD47" s="5"/>
      <c r="AI47" s="5"/>
      <c r="AJ47" s="5"/>
      <c r="AK47" s="5"/>
      <c r="CU47">
        <v>1000</v>
      </c>
      <c r="CV47" t="s">
        <v>179</v>
      </c>
      <c r="CZ47" t="s">
        <v>131</v>
      </c>
      <c r="DA47">
        <v>0.5</v>
      </c>
      <c r="DB47" t="s">
        <v>252</v>
      </c>
    </row>
    <row r="48" spans="1:214" x14ac:dyDescent="0.2">
      <c r="A48" t="s">
        <v>434</v>
      </c>
      <c r="B48" s="410">
        <f>20/26</f>
        <v>0.76923076923076927</v>
      </c>
      <c r="D48" t="s">
        <v>447</v>
      </c>
      <c r="E48" s="1">
        <f>B16</f>
        <v>4.8099999999999997E-2</v>
      </c>
      <c r="F48" t="s">
        <v>160</v>
      </c>
      <c r="G48" t="s">
        <v>63</v>
      </c>
      <c r="H48">
        <f>B28</f>
        <v>0.03</v>
      </c>
      <c r="K48">
        <v>1000</v>
      </c>
      <c r="L48" t="s">
        <v>50</v>
      </c>
      <c r="W48" s="7"/>
      <c r="X48" s="2"/>
      <c r="Y48" s="2"/>
      <c r="Z48" s="2"/>
      <c r="AA48" s="2"/>
      <c r="AB48" s="5"/>
      <c r="AC48" s="5"/>
      <c r="AF48" s="8"/>
      <c r="AG48" s="5"/>
      <c r="AH48" s="5"/>
      <c r="AI48" s="5"/>
      <c r="AJ48" s="5"/>
      <c r="AK48" s="5"/>
      <c r="CU48">
        <v>1000</v>
      </c>
      <c r="CV48" t="s">
        <v>50</v>
      </c>
      <c r="DA48">
        <v>1</v>
      </c>
      <c r="DB48" t="s">
        <v>253</v>
      </c>
    </row>
    <row r="49" spans="1:106" x14ac:dyDescent="0.2">
      <c r="A49" t="s">
        <v>433</v>
      </c>
      <c r="B49" s="410">
        <f>6/40</f>
        <v>0.15</v>
      </c>
      <c r="D49" t="s">
        <v>65</v>
      </c>
      <c r="E49">
        <v>1</v>
      </c>
      <c r="F49" t="s">
        <v>119</v>
      </c>
      <c r="G49" t="s">
        <v>70</v>
      </c>
      <c r="H49">
        <v>0.26</v>
      </c>
      <c r="J49" t="s">
        <v>46</v>
      </c>
      <c r="K49">
        <f>K51</f>
        <v>0.03</v>
      </c>
      <c r="W49" s="1"/>
      <c r="AB49" s="5"/>
      <c r="AC49" s="5"/>
      <c r="AF49" s="8"/>
      <c r="AG49" s="5"/>
      <c r="AH49" s="5"/>
      <c r="AI49" s="5"/>
      <c r="AJ49" s="5"/>
      <c r="AK49" s="5"/>
      <c r="BT49" s="1"/>
      <c r="CT49" t="s">
        <v>433</v>
      </c>
      <c r="CU49" s="1">
        <f>B49</f>
        <v>0.15</v>
      </c>
      <c r="DA49">
        <v>8760</v>
      </c>
      <c r="DB49" t="s">
        <v>237</v>
      </c>
    </row>
    <row r="50" spans="1:106" x14ac:dyDescent="0.2">
      <c r="A50" t="s">
        <v>432</v>
      </c>
      <c r="B50" s="410">
        <f>34/40</f>
        <v>0.85</v>
      </c>
      <c r="D50" t="s">
        <v>162</v>
      </c>
      <c r="E50">
        <f>B44</f>
        <v>54</v>
      </c>
      <c r="F50" t="s">
        <v>90</v>
      </c>
      <c r="G50" t="s">
        <v>44</v>
      </c>
      <c r="H50" s="1">
        <f>(H53*H54*H55*((1-EXP(-H56*H57))))/(H58*H56)</f>
        <v>0.78778672032533081</v>
      </c>
      <c r="I50" t="s">
        <v>45</v>
      </c>
      <c r="J50" t="s">
        <v>54</v>
      </c>
      <c r="K50">
        <f>K52</f>
        <v>0.26</v>
      </c>
      <c r="W50" s="1"/>
      <c r="AB50" s="5"/>
      <c r="AC50" s="5"/>
      <c r="AF50" s="8"/>
      <c r="AG50" s="5"/>
      <c r="AH50" s="5"/>
      <c r="AI50" s="5"/>
      <c r="AJ50" s="5"/>
      <c r="AK50" s="5"/>
      <c r="BW50" s="1"/>
      <c r="CT50" t="s">
        <v>432</v>
      </c>
      <c r="CU50" s="1">
        <f>B50</f>
        <v>0.85</v>
      </c>
      <c r="DA50">
        <v>1000</v>
      </c>
      <c r="DB50" t="s">
        <v>179</v>
      </c>
    </row>
    <row r="51" spans="1:106" x14ac:dyDescent="0.2">
      <c r="E51">
        <v>1000</v>
      </c>
      <c r="F51" t="s">
        <v>179</v>
      </c>
      <c r="G51" t="s">
        <v>53</v>
      </c>
      <c r="H51" s="1">
        <f>(H53*H54*H59*((1-EXP(-H56*H57))))/(H58*H56)</f>
        <v>6.8274849094862002</v>
      </c>
      <c r="I51" t="s">
        <v>45</v>
      </c>
      <c r="J51" t="s">
        <v>63</v>
      </c>
      <c r="K51">
        <f>B28</f>
        <v>0.03</v>
      </c>
      <c r="AB51" s="5"/>
      <c r="AC51" s="5"/>
      <c r="AF51" s="8"/>
      <c r="AG51" s="5"/>
      <c r="BW51" s="1"/>
      <c r="CZ51" t="s">
        <v>433</v>
      </c>
      <c r="DA51" s="1">
        <f>B49</f>
        <v>0.15</v>
      </c>
    </row>
    <row r="52" spans="1:106" x14ac:dyDescent="0.2">
      <c r="D52" t="s">
        <v>186</v>
      </c>
      <c r="E52">
        <f>B22</f>
        <v>2000</v>
      </c>
      <c r="F52" t="s">
        <v>45</v>
      </c>
      <c r="G52" t="s">
        <v>62</v>
      </c>
      <c r="H52" s="1">
        <f>(H53*H54*H60*H66*((1-EXP(-H61*H62))))/(H63*H61)</f>
        <v>3.6385326157733249</v>
      </c>
      <c r="I52" t="s">
        <v>45</v>
      </c>
      <c r="J52" t="s">
        <v>70</v>
      </c>
      <c r="K52">
        <v>0.26</v>
      </c>
      <c r="AB52" s="5"/>
      <c r="AC52" s="5"/>
      <c r="AF52" s="8"/>
      <c r="AG52" s="5"/>
      <c r="BW52" s="1"/>
      <c r="CZ52" t="s">
        <v>432</v>
      </c>
      <c r="DA52" s="1">
        <f>B50</f>
        <v>0.85</v>
      </c>
    </row>
    <row r="53" spans="1:106" x14ac:dyDescent="0.2">
      <c r="D53" t="s">
        <v>188</v>
      </c>
      <c r="E53">
        <v>1</v>
      </c>
      <c r="F53" t="s">
        <v>189</v>
      </c>
      <c r="G53" t="s">
        <v>68</v>
      </c>
      <c r="H53">
        <v>3.62</v>
      </c>
      <c r="I53" t="s">
        <v>69</v>
      </c>
      <c r="J53" t="s">
        <v>435</v>
      </c>
      <c r="K53" s="1">
        <f>B47</f>
        <v>0.23076923076923078</v>
      </c>
      <c r="W53" s="1"/>
      <c r="AB53" s="5"/>
      <c r="AC53" s="5"/>
      <c r="AF53" s="8"/>
      <c r="AG53" s="5"/>
    </row>
    <row r="54" spans="1:106" x14ac:dyDescent="0.2">
      <c r="D54" t="s">
        <v>451</v>
      </c>
      <c r="E54" s="1">
        <f>E46/(E48*E47*E49*E50*E52*E53*(1/E51))</f>
        <v>5.5000055000055013E-4</v>
      </c>
      <c r="G54" t="s">
        <v>74</v>
      </c>
      <c r="H54">
        <v>0.25</v>
      </c>
      <c r="I54" t="s">
        <v>75</v>
      </c>
      <c r="J54" t="s">
        <v>434</v>
      </c>
      <c r="K54" s="1">
        <f>B48</f>
        <v>0.76923076923076927</v>
      </c>
      <c r="AB54" s="5"/>
      <c r="AC54" s="5"/>
      <c r="AF54" s="8"/>
      <c r="AG54" s="5"/>
    </row>
    <row r="55" spans="1:106" x14ac:dyDescent="0.2">
      <c r="G55" t="s">
        <v>63</v>
      </c>
      <c r="H55">
        <f>B28</f>
        <v>0.03</v>
      </c>
      <c r="AB55" s="5"/>
      <c r="AC55" s="5"/>
      <c r="AD55" s="5"/>
      <c r="AF55" s="8"/>
      <c r="AG55" s="5"/>
      <c r="AH55" s="5"/>
      <c r="AI55" s="5"/>
      <c r="AJ55" s="5"/>
      <c r="AK55" s="5"/>
    </row>
    <row r="56" spans="1:106" x14ac:dyDescent="0.2">
      <c r="G56" t="s">
        <v>92</v>
      </c>
      <c r="H56">
        <f>H64+H65</f>
        <v>8.9999999999999992E-5</v>
      </c>
      <c r="AB56" s="5"/>
      <c r="AC56" s="5"/>
      <c r="AD56" s="5"/>
      <c r="AF56" s="8"/>
      <c r="AG56" s="5"/>
      <c r="AH56" s="5"/>
      <c r="AI56" s="5"/>
      <c r="AJ56" s="5"/>
      <c r="AK56" s="5"/>
    </row>
    <row r="57" spans="1:106" x14ac:dyDescent="0.2">
      <c r="G57" t="s">
        <v>101</v>
      </c>
      <c r="H57">
        <v>10950</v>
      </c>
      <c r="I57" t="s">
        <v>102</v>
      </c>
      <c r="AB57" s="5"/>
      <c r="AC57" s="5"/>
      <c r="AD57" s="5"/>
      <c r="AF57" s="8"/>
      <c r="AG57" s="5"/>
      <c r="AH57" s="5"/>
      <c r="AI57" s="5"/>
      <c r="AJ57" s="5"/>
      <c r="AK57" s="5"/>
    </row>
    <row r="58" spans="1:106" x14ac:dyDescent="0.2">
      <c r="G58" t="s">
        <v>110</v>
      </c>
      <c r="H58">
        <v>240</v>
      </c>
      <c r="I58" t="s">
        <v>111</v>
      </c>
      <c r="AB58" s="5"/>
      <c r="AC58" s="5"/>
      <c r="AF58" s="8"/>
      <c r="AG58" s="5"/>
      <c r="AH58" s="5"/>
      <c r="AI58" s="5"/>
      <c r="AJ58" s="5"/>
      <c r="AK58" s="5"/>
    </row>
    <row r="59" spans="1:106" x14ac:dyDescent="0.2">
      <c r="G59" t="s">
        <v>120</v>
      </c>
      <c r="H59">
        <v>0.26</v>
      </c>
      <c r="AB59" s="5"/>
      <c r="AC59" s="5"/>
      <c r="AF59" s="5"/>
      <c r="AG59" s="5"/>
      <c r="AH59" s="5"/>
      <c r="AI59" s="5"/>
      <c r="AJ59" s="5"/>
      <c r="AK59" s="5"/>
    </row>
    <row r="60" spans="1:106" x14ac:dyDescent="0.2">
      <c r="G60" t="s">
        <v>125</v>
      </c>
      <c r="H60">
        <v>0.42</v>
      </c>
      <c r="I60" t="s">
        <v>75</v>
      </c>
      <c r="AB60" s="5"/>
      <c r="AC60" s="5"/>
      <c r="AF60" s="5"/>
      <c r="AG60" s="5"/>
      <c r="AH60" s="5"/>
      <c r="AI60" s="5"/>
      <c r="AJ60" s="5"/>
      <c r="AK60" s="5"/>
    </row>
    <row r="61" spans="1:106" x14ac:dyDescent="0.2">
      <c r="G61" t="s">
        <v>129</v>
      </c>
      <c r="H61">
        <f>H65+(0.693/H67)</f>
        <v>4.9562999999999996E-2</v>
      </c>
      <c r="I61" t="s">
        <v>130</v>
      </c>
      <c r="AB61" s="5"/>
      <c r="AC61" s="5"/>
      <c r="AD61" s="5"/>
      <c r="AF61" s="5"/>
      <c r="AG61" s="5"/>
      <c r="AH61" s="5"/>
      <c r="AI61" s="5"/>
      <c r="AJ61" s="5"/>
      <c r="AK61" s="5"/>
      <c r="DA61" s="1"/>
    </row>
    <row r="62" spans="1:106" x14ac:dyDescent="0.2">
      <c r="G62" t="s">
        <v>133</v>
      </c>
      <c r="H62">
        <v>60</v>
      </c>
      <c r="I62" t="s">
        <v>102</v>
      </c>
      <c r="AB62" s="5"/>
      <c r="AC62" s="5"/>
      <c r="AD62" s="5"/>
      <c r="AF62" s="8"/>
      <c r="AG62" s="5"/>
      <c r="AH62" s="5"/>
      <c r="AI62" s="5"/>
      <c r="AJ62" s="5"/>
      <c r="AK62" s="5"/>
    </row>
    <row r="63" spans="1:106" x14ac:dyDescent="0.2">
      <c r="G63" t="s">
        <v>135</v>
      </c>
      <c r="H63">
        <v>2</v>
      </c>
      <c r="I63" t="s">
        <v>111</v>
      </c>
      <c r="AB63" s="5"/>
      <c r="AC63" s="5"/>
      <c r="AD63" s="5"/>
      <c r="AF63" s="8"/>
      <c r="AG63" s="5"/>
      <c r="AH63" s="5"/>
      <c r="AI63" s="5"/>
      <c r="AJ63" s="5"/>
      <c r="AK63" s="5"/>
    </row>
    <row r="64" spans="1:106" x14ac:dyDescent="0.2">
      <c r="G64" t="s">
        <v>137</v>
      </c>
      <c r="H64">
        <v>2.6999999999999999E-5</v>
      </c>
      <c r="I64" t="s">
        <v>130</v>
      </c>
      <c r="AB64" s="5"/>
      <c r="AC64" s="5"/>
      <c r="AD64" s="5"/>
      <c r="AF64" s="8"/>
      <c r="AG64" s="5"/>
      <c r="AH64" s="5"/>
      <c r="AI64" s="5"/>
      <c r="AJ64" s="5"/>
      <c r="AK64" s="5"/>
    </row>
    <row r="65" spans="7:105" x14ac:dyDescent="0.2">
      <c r="G65" t="s">
        <v>138</v>
      </c>
      <c r="H65">
        <f>0.693/H69</f>
        <v>6.3E-5</v>
      </c>
      <c r="I65" t="s">
        <v>130</v>
      </c>
      <c r="AB65" s="5"/>
      <c r="AC65" s="5"/>
      <c r="AD65" s="5"/>
      <c r="AF65" s="8"/>
      <c r="AG65" s="5"/>
      <c r="AH65" s="5"/>
      <c r="AI65" s="5"/>
      <c r="AJ65" s="5"/>
      <c r="AK65" s="5"/>
    </row>
    <row r="66" spans="7:105" x14ac:dyDescent="0.2">
      <c r="G66" t="s">
        <v>140</v>
      </c>
      <c r="H66">
        <v>1</v>
      </c>
      <c r="I66" t="s">
        <v>75</v>
      </c>
      <c r="AB66" s="5"/>
      <c r="AC66" s="5"/>
      <c r="AD66" s="5"/>
      <c r="AF66" s="8"/>
      <c r="AG66" s="5"/>
      <c r="AH66" s="5"/>
      <c r="AI66" s="5"/>
      <c r="AJ66" s="5"/>
      <c r="AK66" s="5"/>
      <c r="DA66" s="1"/>
    </row>
    <row r="67" spans="7:105" x14ac:dyDescent="0.2">
      <c r="G67" t="s">
        <v>144</v>
      </c>
      <c r="H67">
        <v>14</v>
      </c>
      <c r="I67" t="s">
        <v>145</v>
      </c>
      <c r="AB67" s="5"/>
      <c r="AC67" s="10"/>
      <c r="AD67" s="5"/>
      <c r="AF67" s="8"/>
      <c r="AG67" s="5"/>
      <c r="AH67" s="5"/>
      <c r="AI67" s="5"/>
      <c r="AJ67" s="5"/>
      <c r="AK67" s="5"/>
    </row>
    <row r="68" spans="7:105" x14ac:dyDescent="0.2">
      <c r="G68" t="s">
        <v>64</v>
      </c>
      <c r="H68">
        <f>B29</f>
        <v>10</v>
      </c>
      <c r="AB68" s="5"/>
      <c r="AC68" s="11"/>
      <c r="AD68" s="5"/>
      <c r="AF68" s="8"/>
      <c r="AG68" s="5"/>
      <c r="AH68" s="5"/>
      <c r="AI68" s="5"/>
      <c r="AJ68" s="5"/>
      <c r="AK68" s="5"/>
    </row>
    <row r="69" spans="7:105" x14ac:dyDescent="0.2">
      <c r="G69" t="s">
        <v>416</v>
      </c>
      <c r="H69" s="1">
        <f>B21</f>
        <v>11000</v>
      </c>
      <c r="I69" t="s">
        <v>381</v>
      </c>
      <c r="AF69" s="12"/>
      <c r="AG69" s="5"/>
      <c r="AH69" s="5"/>
      <c r="AI69" s="5"/>
      <c r="AJ69" s="5"/>
      <c r="AK69" s="5"/>
      <c r="BW69" s="1"/>
    </row>
    <row r="70" spans="7:105" x14ac:dyDescent="0.2">
      <c r="G70" t="s">
        <v>435</v>
      </c>
      <c r="H70" s="1">
        <f>B47</f>
        <v>0.23076923076923078</v>
      </c>
      <c r="AF70" s="8"/>
      <c r="AG70" s="5"/>
      <c r="AH70" s="5"/>
      <c r="AI70" s="5"/>
      <c r="AJ70" s="5"/>
      <c r="AK70" s="5"/>
    </row>
    <row r="71" spans="7:105" x14ac:dyDescent="0.2">
      <c r="G71" t="s">
        <v>434</v>
      </c>
      <c r="H71" s="1">
        <f>B48</f>
        <v>0.76923076923076927</v>
      </c>
      <c r="AF71" s="13"/>
      <c r="AG71" s="5"/>
      <c r="AH71" s="5"/>
      <c r="AI71" s="5"/>
      <c r="AJ71" s="5"/>
      <c r="AK71" s="5"/>
    </row>
    <row r="72" spans="7:105" x14ac:dyDescent="0.2">
      <c r="AF72" s="8"/>
      <c r="AG72" s="5"/>
      <c r="AH72" s="5"/>
      <c r="AI72" s="5"/>
      <c r="AJ72" s="5"/>
      <c r="AK72" s="5"/>
    </row>
    <row r="73" spans="7:105" x14ac:dyDescent="0.2">
      <c r="AF73" s="8"/>
      <c r="AG73" s="5"/>
      <c r="AH73" s="5"/>
      <c r="AI73" s="5"/>
      <c r="AJ73" s="5"/>
      <c r="AK73" s="5"/>
    </row>
    <row r="74" spans="7:105" x14ac:dyDescent="0.2">
      <c r="AF74" s="8"/>
      <c r="AG74" s="5"/>
      <c r="AH74" s="5"/>
      <c r="AI74" s="5"/>
      <c r="AJ74" s="5"/>
      <c r="AK74" s="5"/>
    </row>
    <row r="75" spans="7:105" x14ac:dyDescent="0.2">
      <c r="AF75" s="5"/>
      <c r="AG75" s="5"/>
      <c r="AH75" s="5"/>
      <c r="AI75" s="5"/>
      <c r="AJ75" s="5"/>
      <c r="AK75" s="5"/>
    </row>
    <row r="76" spans="7:105" x14ac:dyDescent="0.2">
      <c r="AF76" s="8"/>
      <c r="AG76" s="5"/>
      <c r="AH76" s="5"/>
      <c r="AI76" s="5"/>
      <c r="AJ76" s="5"/>
      <c r="AK76" s="5"/>
    </row>
    <row r="77" spans="7:105" x14ac:dyDescent="0.2">
      <c r="AF77" s="8"/>
      <c r="AG77" s="5"/>
      <c r="AH77" s="5"/>
      <c r="AI77" s="5"/>
      <c r="AJ77" s="5"/>
      <c r="AK77" s="5"/>
    </row>
    <row r="78" spans="7:105" ht="12.75" customHeight="1" x14ac:dyDescent="0.2">
      <c r="AF78" s="8"/>
      <c r="AG78" s="5"/>
    </row>
    <row r="79" spans="7:105" x14ac:dyDescent="0.2">
      <c r="AF79" s="8"/>
      <c r="AG79" s="5"/>
      <c r="AH79" s="5"/>
      <c r="AI79" s="5"/>
      <c r="AJ79" s="5"/>
      <c r="AK79" s="5"/>
    </row>
    <row r="80" spans="7:105" x14ac:dyDescent="0.2">
      <c r="AF80" s="8"/>
      <c r="AG80" s="5"/>
      <c r="AH80" s="5"/>
      <c r="AI80" s="5"/>
      <c r="AJ80" s="5"/>
      <c r="AK80" s="5"/>
    </row>
    <row r="81" spans="32:37" x14ac:dyDescent="0.2">
      <c r="AF81" s="8"/>
      <c r="AG81" s="5"/>
      <c r="AH81" s="5"/>
      <c r="AI81" s="5"/>
      <c r="AJ81" s="5"/>
      <c r="AK81" s="5"/>
    </row>
    <row r="82" spans="32:37" x14ac:dyDescent="0.2">
      <c r="AF82" s="8"/>
      <c r="AG82" s="5"/>
      <c r="AH82" s="5"/>
      <c r="AI82" s="5"/>
      <c r="AJ82" s="5"/>
      <c r="AK82" s="5"/>
    </row>
    <row r="83" spans="32:37" x14ac:dyDescent="0.2">
      <c r="AF83" s="5"/>
      <c r="AG83" s="5"/>
    </row>
    <row r="84" spans="32:37" x14ac:dyDescent="0.2">
      <c r="AF84" s="5"/>
      <c r="AG84" s="5"/>
      <c r="AH84" s="5"/>
      <c r="AI84" s="5"/>
      <c r="AJ84" s="5"/>
      <c r="AK84" s="5"/>
    </row>
    <row r="85" spans="32:37" x14ac:dyDescent="0.2">
      <c r="AF85" s="5"/>
      <c r="AG85" s="5"/>
    </row>
    <row r="86" spans="32:37" x14ac:dyDescent="0.2">
      <c r="AH86" s="5"/>
      <c r="AI86" s="5"/>
      <c r="AJ86" s="5"/>
      <c r="AK86" s="5"/>
    </row>
  </sheetData>
  <mergeCells count="4">
    <mergeCell ref="A1:C4"/>
    <mergeCell ref="CH34:CL37"/>
    <mergeCell ref="BK36:BO39"/>
    <mergeCell ref="AF43:AH45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F86"/>
  <sheetViews>
    <sheetView workbookViewId="0">
      <pane xSplit="3" ySplit="4" topLeftCell="D5" activePane="bottomRight" state="frozen"/>
      <selection activeCell="E11" sqref="E11"/>
      <selection pane="topRight" activeCell="E11" sqref="E11"/>
      <selection pane="bottomLeft" activeCell="E11" sqref="E11"/>
      <selection pane="bottomRight" activeCell="D5" sqref="D5"/>
    </sheetView>
  </sheetViews>
  <sheetFormatPr defaultRowHeight="12.75" x14ac:dyDescent="0.2"/>
  <cols>
    <col min="1" max="1" width="14.42578125" bestFit="1" customWidth="1"/>
    <col min="2" max="2" width="9.42578125" bestFit="1" customWidth="1"/>
    <col min="3" max="3" width="14.28515625" bestFit="1" customWidth="1"/>
    <col min="4" max="4" width="8.5703125" customWidth="1"/>
    <col min="5" max="5" width="12.5703125" customWidth="1"/>
    <col min="6" max="6" width="19" customWidth="1"/>
    <col min="7" max="7" width="10" customWidth="1"/>
    <col min="8" max="8" width="12" customWidth="1"/>
    <col min="9" max="9" width="13.28515625" customWidth="1"/>
    <col min="10" max="10" width="10" customWidth="1"/>
    <col min="11" max="11" width="12.85546875" customWidth="1"/>
    <col min="12" max="12" width="14.28515625" customWidth="1"/>
    <col min="13" max="13" width="10.42578125" customWidth="1"/>
    <col min="14" max="14" width="11.5703125" customWidth="1"/>
    <col min="15" max="15" width="15.42578125" customWidth="1"/>
    <col min="16" max="16" width="10.42578125" customWidth="1"/>
    <col min="17" max="17" width="8.85546875" customWidth="1"/>
    <col min="18" max="18" width="15.42578125" customWidth="1"/>
    <col min="19" max="19" width="10.42578125" customWidth="1"/>
    <col min="20" max="20" width="8.85546875" customWidth="1"/>
    <col min="21" max="21" width="15.42578125" customWidth="1"/>
    <col min="22" max="22" width="8.5703125" customWidth="1"/>
    <col min="23" max="23" width="9" customWidth="1"/>
    <col min="24" max="24" width="16.85546875" customWidth="1"/>
    <col min="25" max="25" width="9.28515625" customWidth="1"/>
    <col min="26" max="26" width="11.140625" customWidth="1"/>
    <col min="27" max="27" width="16.85546875" customWidth="1"/>
    <col min="28" max="28" width="12.85546875" customWidth="1"/>
    <col min="29" max="29" width="17.42578125" customWidth="1"/>
    <col min="30" max="30" width="15.7109375" customWidth="1"/>
    <col min="31" max="31" width="15" customWidth="1"/>
    <col min="32" max="32" width="20.5703125" customWidth="1"/>
    <col min="33" max="33" width="24.28515625" customWidth="1"/>
    <col min="34" max="34" width="15.7109375" customWidth="1"/>
    <col min="35" max="35" width="10.42578125" customWidth="1"/>
    <col min="36" max="36" width="11.5703125" customWidth="1"/>
    <col min="37" max="37" width="15.42578125" customWidth="1"/>
    <col min="38" max="38" width="10.42578125" customWidth="1"/>
    <col min="39" max="39" width="8.85546875" customWidth="1"/>
    <col min="40" max="40" width="15.42578125" customWidth="1"/>
    <col min="41" max="41" width="10.42578125" customWidth="1"/>
    <col min="42" max="42" width="8.85546875" customWidth="1"/>
    <col min="43" max="43" width="15.42578125" customWidth="1"/>
    <col min="44" max="44" width="10.42578125" customWidth="1"/>
    <col min="45" max="45" width="11.5703125" customWidth="1"/>
    <col min="46" max="46" width="15.42578125" customWidth="1"/>
    <col min="47" max="47" width="10.42578125" customWidth="1"/>
    <col min="48" max="48" width="8.85546875" customWidth="1"/>
    <col min="49" max="49" width="15.42578125" customWidth="1"/>
    <col min="50" max="50" width="10.42578125" bestFit="1" customWidth="1"/>
    <col min="51" max="51" width="8.85546875" customWidth="1"/>
    <col min="52" max="52" width="15.42578125" customWidth="1"/>
    <col min="53" max="53" width="10.42578125" bestFit="1" customWidth="1"/>
    <col min="54" max="54" width="11.5703125" bestFit="1" customWidth="1"/>
    <col min="55" max="55" width="15.42578125" bestFit="1" customWidth="1"/>
    <col min="56" max="56" width="10.42578125" bestFit="1" customWidth="1"/>
    <col min="57" max="57" width="8.85546875" bestFit="1" customWidth="1"/>
    <col min="58" max="58" width="15.42578125" bestFit="1" customWidth="1"/>
    <col min="59" max="59" width="10.42578125" bestFit="1" customWidth="1"/>
    <col min="60" max="60" width="8.85546875" bestFit="1" customWidth="1"/>
    <col min="61" max="61" width="15.42578125" bestFit="1" customWidth="1"/>
    <col min="62" max="62" width="10.42578125" bestFit="1" customWidth="1"/>
    <col min="63" max="63" width="11.5703125" bestFit="1" customWidth="1"/>
    <col min="64" max="64" width="15.42578125" bestFit="1" customWidth="1"/>
    <col min="65" max="65" width="10.42578125" bestFit="1" customWidth="1"/>
    <col min="66" max="66" width="8.85546875" bestFit="1" customWidth="1"/>
    <col min="67" max="67" width="15.42578125" bestFit="1" customWidth="1"/>
    <col min="68" max="68" width="10.42578125" bestFit="1" customWidth="1"/>
    <col min="69" max="69" width="8.85546875" bestFit="1" customWidth="1"/>
    <col min="70" max="70" width="15.42578125" bestFit="1" customWidth="1"/>
    <col min="71" max="71" width="8.5703125" customWidth="1"/>
    <col min="72" max="72" width="10.5703125" bestFit="1" customWidth="1"/>
    <col min="73" max="73" width="19" bestFit="1" customWidth="1"/>
    <col min="74" max="75" width="12" bestFit="1" customWidth="1"/>
    <col min="76" max="76" width="10.42578125" bestFit="1" customWidth="1"/>
    <col min="77" max="77" width="10" bestFit="1" customWidth="1"/>
    <col min="78" max="78" width="11.28515625" bestFit="1" customWidth="1"/>
    <col min="79" max="79" width="14.28515625" customWidth="1"/>
    <col min="80" max="82" width="15.42578125" customWidth="1"/>
    <col min="83" max="83" width="10.42578125" bestFit="1" customWidth="1"/>
    <col min="84" max="84" width="8.85546875" bestFit="1" customWidth="1"/>
    <col min="85" max="85" width="15.42578125" bestFit="1" customWidth="1"/>
    <col min="86" max="86" width="10.42578125" bestFit="1" customWidth="1"/>
    <col min="87" max="87" width="8.85546875" bestFit="1" customWidth="1"/>
    <col min="88" max="88" width="15.42578125" bestFit="1" customWidth="1"/>
    <col min="89" max="89" width="9" bestFit="1" customWidth="1"/>
    <col min="90" max="90" width="8.85546875" bestFit="1" customWidth="1"/>
    <col min="91" max="91" width="8.140625" bestFit="1" customWidth="1"/>
    <col min="92" max="92" width="9.85546875" bestFit="1" customWidth="1"/>
    <col min="93" max="93" width="8.85546875" bestFit="1" customWidth="1"/>
    <col min="94" max="94" width="7.42578125" bestFit="1" customWidth="1"/>
    <col min="95" max="95" width="9.42578125" bestFit="1" customWidth="1"/>
    <col min="96" max="96" width="8.85546875" bestFit="1" customWidth="1"/>
    <col min="97" max="97" width="7.42578125" bestFit="1" customWidth="1"/>
    <col min="98" max="98" width="10" bestFit="1" customWidth="1"/>
    <col min="99" max="99" width="12.85546875" bestFit="1" customWidth="1"/>
    <col min="100" max="100" width="14.28515625" customWidth="1"/>
    <col min="101" max="101" width="8.5703125" customWidth="1"/>
    <col min="102" max="102" width="10.5703125" bestFit="1" customWidth="1"/>
    <col min="103" max="103" width="16.85546875" bestFit="1" customWidth="1"/>
    <col min="104" max="104" width="10.42578125" bestFit="1" customWidth="1"/>
    <col min="105" max="105" width="11.28515625" bestFit="1" customWidth="1"/>
    <col min="106" max="106" width="9.42578125" customWidth="1"/>
    <col min="107" max="107" width="9.140625" customWidth="1"/>
    <col min="108" max="108" width="11.28515625" bestFit="1" customWidth="1"/>
    <col min="109" max="109" width="9.140625" customWidth="1"/>
    <col min="110" max="110" width="9.85546875" bestFit="1" customWidth="1"/>
    <col min="111" max="111" width="12" customWidth="1"/>
    <col min="112" max="112" width="9.42578125" customWidth="1"/>
    <col min="113" max="113" width="7.5703125" bestFit="1" customWidth="1"/>
    <col min="114" max="114" width="8.28515625" bestFit="1" customWidth="1"/>
    <col min="115" max="115" width="7.42578125" bestFit="1" customWidth="1"/>
    <col min="116" max="116" width="7.5703125" bestFit="1" customWidth="1"/>
    <col min="117" max="117" width="8.28515625" bestFit="1" customWidth="1"/>
    <col min="118" max="118" width="7.42578125" bestFit="1" customWidth="1"/>
    <col min="119" max="119" width="9.85546875" bestFit="1" customWidth="1"/>
    <col min="120" max="120" width="12" customWidth="1"/>
    <col min="121" max="121" width="9.42578125" customWidth="1"/>
    <col min="122" max="122" width="8" bestFit="1" customWidth="1"/>
    <col min="123" max="123" width="12.85546875" bestFit="1" customWidth="1"/>
    <col min="124" max="124" width="9.140625" customWidth="1"/>
    <col min="125" max="125" width="8.85546875" bestFit="1" customWidth="1"/>
    <col min="126" max="126" width="8.85546875" customWidth="1"/>
    <col min="127" max="127" width="7.42578125" bestFit="1" customWidth="1"/>
    <col min="128" max="128" width="6.28515625" customWidth="1"/>
    <col min="129" max="129" width="8.85546875" customWidth="1"/>
    <col min="130" max="130" width="7.42578125" bestFit="1" customWidth="1"/>
    <col min="131" max="131" width="6.28515625" customWidth="1"/>
    <col min="132" max="132" width="8.85546875" customWidth="1"/>
    <col min="133" max="133" width="7.42578125" bestFit="1" customWidth="1"/>
    <col min="134" max="134" width="9.85546875" bestFit="1" customWidth="1"/>
    <col min="135" max="135" width="9.42578125" bestFit="1" customWidth="1"/>
    <col min="136" max="136" width="7.42578125" bestFit="1" customWidth="1"/>
    <col min="137" max="137" width="8" bestFit="1" customWidth="1"/>
    <col min="138" max="138" width="12.85546875" bestFit="1" customWidth="1"/>
    <col min="139" max="139" width="9.140625" customWidth="1"/>
    <col min="140" max="140" width="8.28515625" customWidth="1"/>
    <col min="141" max="141" width="8.85546875" customWidth="1"/>
    <col min="142" max="142" width="7.42578125" bestFit="1" customWidth="1"/>
    <col min="143" max="143" width="6.28515625" customWidth="1"/>
    <col min="144" max="144" width="8.85546875" customWidth="1"/>
    <col min="145" max="145" width="7.42578125" bestFit="1" customWidth="1"/>
    <col min="146" max="146" width="6.28515625" customWidth="1"/>
    <col min="147" max="147" width="8.85546875" customWidth="1"/>
    <col min="148" max="148" width="7.42578125" bestFit="1" customWidth="1"/>
    <col min="149" max="149" width="9.85546875" bestFit="1" customWidth="1"/>
    <col min="150" max="150" width="9.42578125" bestFit="1" customWidth="1"/>
    <col min="151" max="151" width="7.42578125" bestFit="1" customWidth="1"/>
    <col min="152" max="152" width="8" bestFit="1" customWidth="1"/>
    <col min="153" max="153" width="11.28515625" bestFit="1" customWidth="1"/>
    <col min="154" max="154" width="9.140625" customWidth="1"/>
    <col min="155" max="155" width="7.85546875" bestFit="1" customWidth="1"/>
    <col min="156" max="156" width="8.85546875" customWidth="1"/>
    <col min="157" max="157" width="7.42578125" bestFit="1" customWidth="1"/>
    <col min="158" max="158" width="8.28515625" bestFit="1" customWidth="1"/>
    <col min="159" max="159" width="8.85546875" bestFit="1" customWidth="1"/>
    <col min="160" max="160" width="7.42578125" bestFit="1" customWidth="1"/>
    <col min="161" max="162" width="8.28515625" bestFit="1" customWidth="1"/>
    <col min="163" max="163" width="7.42578125" bestFit="1" customWidth="1"/>
    <col min="164" max="164" width="9.85546875" bestFit="1" customWidth="1"/>
    <col min="165" max="165" width="9" bestFit="1" customWidth="1"/>
    <col min="166" max="166" width="7.42578125" bestFit="1" customWidth="1"/>
    <col min="167" max="167" width="8.28515625" bestFit="1" customWidth="1"/>
    <col min="168" max="168" width="12.85546875" bestFit="1" customWidth="1"/>
    <col min="169" max="169" width="9.140625" customWidth="1"/>
    <col min="170" max="170" width="7.7109375" bestFit="1" customWidth="1"/>
    <col min="171" max="171" width="8.28515625" bestFit="1" customWidth="1"/>
    <col min="172" max="172" width="7.42578125" bestFit="1" customWidth="1"/>
    <col min="173" max="173" width="6.5703125" bestFit="1" customWidth="1"/>
    <col min="174" max="174" width="9" bestFit="1" customWidth="1"/>
    <col min="175" max="175" width="7.42578125" bestFit="1" customWidth="1"/>
    <col min="176" max="176" width="6.5703125" bestFit="1" customWidth="1"/>
    <col min="177" max="177" width="9" bestFit="1" customWidth="1"/>
    <col min="178" max="178" width="7.42578125" bestFit="1" customWidth="1"/>
    <col min="179" max="179" width="9.85546875" bestFit="1" customWidth="1"/>
    <col min="180" max="180" width="9" bestFit="1" customWidth="1"/>
    <col min="181" max="181" width="7.42578125" bestFit="1" customWidth="1"/>
    <col min="182" max="182" width="8" customWidth="1"/>
    <col min="183" max="183" width="12.85546875" bestFit="1" customWidth="1"/>
    <col min="184" max="184" width="9.140625" customWidth="1"/>
    <col min="185" max="185" width="6.85546875" bestFit="1" customWidth="1"/>
    <col min="186" max="186" width="8.85546875" bestFit="1" customWidth="1"/>
    <col min="187" max="187" width="7.42578125" bestFit="1" customWidth="1"/>
    <col min="188" max="188" width="7.28515625" bestFit="1" customWidth="1"/>
    <col min="189" max="189" width="8.85546875" bestFit="1" customWidth="1"/>
    <col min="190" max="190" width="7.42578125" bestFit="1" customWidth="1"/>
    <col min="191" max="191" width="7.28515625" bestFit="1" customWidth="1"/>
    <col min="192" max="192" width="8.28515625" bestFit="1" customWidth="1"/>
    <col min="193" max="193" width="7.42578125" bestFit="1" customWidth="1"/>
    <col min="194" max="194" width="9.85546875" bestFit="1" customWidth="1"/>
    <col min="195" max="195" width="9" bestFit="1" customWidth="1"/>
    <col min="196" max="196" width="7.42578125" bestFit="1" customWidth="1"/>
    <col min="197" max="197" width="9.7109375" bestFit="1" customWidth="1"/>
    <col min="198" max="198" width="12" bestFit="1" customWidth="1"/>
    <col min="199" max="199" width="9.140625" customWidth="1"/>
    <col min="200" max="200" width="9.5703125" bestFit="1" customWidth="1"/>
    <col min="201" max="201" width="8.85546875" bestFit="1" customWidth="1"/>
    <col min="202" max="202" width="7.42578125" bestFit="1" customWidth="1"/>
    <col min="203" max="203" width="7.5703125" bestFit="1" customWidth="1"/>
    <col min="204" max="204" width="8.85546875" bestFit="1" customWidth="1"/>
    <col min="205" max="205" width="7.42578125" bestFit="1" customWidth="1"/>
    <col min="206" max="206" width="7.5703125" bestFit="1" customWidth="1"/>
    <col min="207" max="207" width="8.85546875" bestFit="1" customWidth="1"/>
    <col min="208" max="208" width="7.42578125" bestFit="1" customWidth="1"/>
    <col min="209" max="209" width="9.85546875" bestFit="1" customWidth="1"/>
    <col min="210" max="210" width="9" bestFit="1" customWidth="1"/>
    <col min="211" max="211" width="7.42578125" bestFit="1" customWidth="1"/>
    <col min="212" max="212" width="10.28515625" bestFit="1" customWidth="1"/>
    <col min="213" max="213" width="9" bestFit="1" customWidth="1"/>
    <col min="214" max="214" width="12.5703125" bestFit="1" customWidth="1"/>
  </cols>
  <sheetData>
    <row r="1" spans="1:214" ht="13.5" thickTop="1" x14ac:dyDescent="0.2">
      <c r="A1" s="430" t="s">
        <v>413</v>
      </c>
      <c r="B1" s="431"/>
      <c r="C1" s="432"/>
      <c r="D1" s="98" t="s">
        <v>3</v>
      </c>
      <c r="E1" s="99"/>
      <c r="F1" s="99" t="s">
        <v>422</v>
      </c>
      <c r="G1" s="260" t="s">
        <v>3</v>
      </c>
      <c r="H1" s="114"/>
      <c r="I1" s="114" t="s">
        <v>422</v>
      </c>
      <c r="J1" s="257" t="s">
        <v>3</v>
      </c>
      <c r="K1" s="104"/>
      <c r="L1" s="105" t="s">
        <v>422</v>
      </c>
      <c r="M1" s="117" t="s">
        <v>13</v>
      </c>
      <c r="N1" s="118" t="s">
        <v>14</v>
      </c>
      <c r="O1" s="118" t="s">
        <v>422</v>
      </c>
      <c r="P1" s="252" t="s">
        <v>13</v>
      </c>
      <c r="Q1" s="118" t="s">
        <v>141</v>
      </c>
      <c r="R1" s="118" t="s">
        <v>422</v>
      </c>
      <c r="S1" s="252" t="s">
        <v>13</v>
      </c>
      <c r="T1" s="118" t="s">
        <v>16</v>
      </c>
      <c r="U1" s="119" t="s">
        <v>422</v>
      </c>
      <c r="V1" s="88" t="s">
        <v>1</v>
      </c>
      <c r="W1" s="89" t="s">
        <v>2</v>
      </c>
      <c r="X1" s="89" t="s">
        <v>422</v>
      </c>
      <c r="Y1" s="248" t="s">
        <v>1</v>
      </c>
      <c r="Z1" s="89" t="s">
        <v>4</v>
      </c>
      <c r="AA1" s="90" t="s">
        <v>422</v>
      </c>
      <c r="AB1" s="149" t="s">
        <v>1</v>
      </c>
      <c r="AC1" s="243" t="s">
        <v>4</v>
      </c>
      <c r="AD1" s="240" t="s">
        <v>5</v>
      </c>
      <c r="AE1" s="243" t="s">
        <v>2</v>
      </c>
      <c r="AF1" s="243" t="s">
        <v>7</v>
      </c>
      <c r="AG1" s="240" t="s">
        <v>6</v>
      </c>
      <c r="AH1" s="163" t="s">
        <v>15</v>
      </c>
      <c r="AI1" s="133" t="s">
        <v>13</v>
      </c>
      <c r="AJ1" s="134" t="s">
        <v>14</v>
      </c>
      <c r="AK1" s="134" t="s">
        <v>422</v>
      </c>
      <c r="AL1" s="233" t="s">
        <v>13</v>
      </c>
      <c r="AM1" s="134" t="s">
        <v>141</v>
      </c>
      <c r="AN1" s="134" t="s">
        <v>422</v>
      </c>
      <c r="AO1" s="233" t="s">
        <v>13</v>
      </c>
      <c r="AP1" s="134" t="s">
        <v>16</v>
      </c>
      <c r="AQ1" s="135" t="s">
        <v>422</v>
      </c>
      <c r="AR1" s="141" t="s">
        <v>13</v>
      </c>
      <c r="AS1" s="142" t="s">
        <v>14</v>
      </c>
      <c r="AT1" s="142" t="s">
        <v>422</v>
      </c>
      <c r="AU1" s="236" t="s">
        <v>13</v>
      </c>
      <c r="AV1" s="142" t="s">
        <v>141</v>
      </c>
      <c r="AW1" s="142" t="s">
        <v>422</v>
      </c>
      <c r="AX1" s="236" t="s">
        <v>13</v>
      </c>
      <c r="AY1" s="142" t="s">
        <v>16</v>
      </c>
      <c r="AZ1" s="143" t="s">
        <v>422</v>
      </c>
      <c r="BA1" s="141" t="s">
        <v>13</v>
      </c>
      <c r="BB1" s="142" t="s">
        <v>14</v>
      </c>
      <c r="BC1" s="142" t="s">
        <v>422</v>
      </c>
      <c r="BD1" s="236" t="s">
        <v>13</v>
      </c>
      <c r="BE1" s="142" t="s">
        <v>141</v>
      </c>
      <c r="BF1" s="142" t="s">
        <v>422</v>
      </c>
      <c r="BG1" s="236" t="s">
        <v>13</v>
      </c>
      <c r="BH1" s="142" t="s">
        <v>16</v>
      </c>
      <c r="BI1" s="143" t="s">
        <v>422</v>
      </c>
      <c r="BJ1" s="141" t="s">
        <v>13</v>
      </c>
      <c r="BK1" s="142" t="s">
        <v>14</v>
      </c>
      <c r="BL1" s="142" t="s">
        <v>422</v>
      </c>
      <c r="BM1" s="236" t="s">
        <v>13</v>
      </c>
      <c r="BN1" s="142" t="s">
        <v>141</v>
      </c>
      <c r="BO1" s="142" t="s">
        <v>422</v>
      </c>
      <c r="BP1" s="236" t="s">
        <v>13</v>
      </c>
      <c r="BQ1" s="142" t="s">
        <v>16</v>
      </c>
      <c r="BR1" s="143" t="s">
        <v>422</v>
      </c>
      <c r="BS1" s="230" t="s">
        <v>8</v>
      </c>
      <c r="BT1" s="76"/>
      <c r="BU1" s="76" t="s">
        <v>422</v>
      </c>
      <c r="BV1" s="230" t="s">
        <v>8</v>
      </c>
      <c r="BW1" s="76"/>
      <c r="BX1" s="76" t="s">
        <v>422</v>
      </c>
      <c r="BY1" s="230" t="s">
        <v>397</v>
      </c>
      <c r="BZ1" s="76"/>
      <c r="CA1" s="76" t="s">
        <v>422</v>
      </c>
      <c r="CB1" s="230" t="s">
        <v>8</v>
      </c>
      <c r="CC1" s="76" t="s">
        <v>14</v>
      </c>
      <c r="CD1" s="76" t="s">
        <v>422</v>
      </c>
      <c r="CE1" s="230" t="s">
        <v>8</v>
      </c>
      <c r="CF1" s="76" t="s">
        <v>141</v>
      </c>
      <c r="CG1" s="76" t="s">
        <v>422</v>
      </c>
      <c r="CH1" s="230" t="s">
        <v>8</v>
      </c>
      <c r="CI1" s="76" t="s">
        <v>16</v>
      </c>
      <c r="CJ1" s="77" t="s">
        <v>422</v>
      </c>
      <c r="CK1" s="230" t="s">
        <v>8</v>
      </c>
      <c r="CL1" s="76" t="s">
        <v>301</v>
      </c>
      <c r="CM1" s="77" t="s">
        <v>422</v>
      </c>
      <c r="CN1" s="230" t="s">
        <v>8</v>
      </c>
      <c r="CO1" s="76" t="s">
        <v>301</v>
      </c>
      <c r="CP1" s="77" t="s">
        <v>422</v>
      </c>
      <c r="CQ1" s="230" t="s">
        <v>8</v>
      </c>
      <c r="CR1" s="76" t="s">
        <v>301</v>
      </c>
      <c r="CS1" s="77" t="s">
        <v>422</v>
      </c>
      <c r="CT1" s="382" t="s">
        <v>295</v>
      </c>
      <c r="CU1" s="383"/>
      <c r="CV1" s="384" t="s">
        <v>422</v>
      </c>
      <c r="CW1" s="265" t="s">
        <v>295</v>
      </c>
      <c r="CX1" s="174"/>
      <c r="CY1" s="174" t="s">
        <v>422</v>
      </c>
      <c r="CZ1" s="268" t="s">
        <v>9</v>
      </c>
      <c r="DA1" s="178"/>
      <c r="DB1" s="179" t="s">
        <v>422</v>
      </c>
      <c r="DC1" s="307" t="s">
        <v>9</v>
      </c>
      <c r="DD1" s="307"/>
      <c r="DE1" s="307" t="s">
        <v>422</v>
      </c>
      <c r="DF1" s="27" t="s">
        <v>9</v>
      </c>
      <c r="DG1" s="28" t="s">
        <v>10</v>
      </c>
      <c r="DH1" s="28" t="s">
        <v>422</v>
      </c>
      <c r="DI1" s="226" t="s">
        <v>9</v>
      </c>
      <c r="DJ1" s="28" t="s">
        <v>11</v>
      </c>
      <c r="DK1" s="28" t="s">
        <v>422</v>
      </c>
      <c r="DL1" s="226" t="s">
        <v>9</v>
      </c>
      <c r="DM1" s="28" t="s">
        <v>12</v>
      </c>
      <c r="DN1" s="28" t="s">
        <v>422</v>
      </c>
      <c r="DO1" s="226" t="s">
        <v>9</v>
      </c>
      <c r="DP1" s="28" t="s">
        <v>12</v>
      </c>
      <c r="DQ1" s="29" t="s">
        <v>422</v>
      </c>
      <c r="DR1" s="23" t="s">
        <v>9</v>
      </c>
      <c r="DS1" s="23"/>
      <c r="DT1" s="23" t="s">
        <v>422</v>
      </c>
      <c r="DU1" s="315" t="s">
        <v>9</v>
      </c>
      <c r="DV1" s="316" t="s">
        <v>10</v>
      </c>
      <c r="DW1" s="316" t="s">
        <v>422</v>
      </c>
      <c r="DX1" s="317" t="s">
        <v>9</v>
      </c>
      <c r="DY1" s="316" t="s">
        <v>11</v>
      </c>
      <c r="DZ1" s="316" t="s">
        <v>422</v>
      </c>
      <c r="EA1" s="317" t="s">
        <v>9</v>
      </c>
      <c r="EB1" s="316" t="s">
        <v>12</v>
      </c>
      <c r="EC1" s="316" t="s">
        <v>422</v>
      </c>
      <c r="ED1" s="317" t="s">
        <v>9</v>
      </c>
      <c r="EE1" s="316" t="s">
        <v>12</v>
      </c>
      <c r="EF1" s="318" t="s">
        <v>422</v>
      </c>
      <c r="EG1" s="18" t="s">
        <v>9</v>
      </c>
      <c r="EH1" s="18"/>
      <c r="EI1" s="18" t="s">
        <v>422</v>
      </c>
      <c r="EJ1" s="332" t="s">
        <v>9</v>
      </c>
      <c r="EK1" s="333" t="s">
        <v>10</v>
      </c>
      <c r="EL1" s="333" t="s">
        <v>422</v>
      </c>
      <c r="EM1" s="334" t="s">
        <v>9</v>
      </c>
      <c r="EN1" s="333" t="s">
        <v>11</v>
      </c>
      <c r="EO1" s="333" t="s">
        <v>422</v>
      </c>
      <c r="EP1" s="334" t="s">
        <v>9</v>
      </c>
      <c r="EQ1" s="333" t="s">
        <v>12</v>
      </c>
      <c r="ER1" s="333" t="s">
        <v>422</v>
      </c>
      <c r="ES1" s="334" t="s">
        <v>9</v>
      </c>
      <c r="ET1" s="333" t="s">
        <v>12</v>
      </c>
      <c r="EU1" s="335" t="s">
        <v>422</v>
      </c>
      <c r="EV1" s="37" t="s">
        <v>9</v>
      </c>
      <c r="EW1" s="37"/>
      <c r="EX1" s="37" t="s">
        <v>422</v>
      </c>
      <c r="EY1" s="192" t="s">
        <v>9</v>
      </c>
      <c r="EZ1" s="193" t="s">
        <v>10</v>
      </c>
      <c r="FA1" s="193" t="s">
        <v>422</v>
      </c>
      <c r="FB1" s="221" t="s">
        <v>9</v>
      </c>
      <c r="FC1" s="193" t="s">
        <v>11</v>
      </c>
      <c r="FD1" s="193" t="s">
        <v>422</v>
      </c>
      <c r="FE1" s="221" t="s">
        <v>9</v>
      </c>
      <c r="FF1" s="193" t="s">
        <v>12</v>
      </c>
      <c r="FG1" s="193" t="s">
        <v>422</v>
      </c>
      <c r="FH1" s="221" t="s">
        <v>9</v>
      </c>
      <c r="FI1" s="193" t="s">
        <v>12</v>
      </c>
      <c r="FJ1" s="194" t="s">
        <v>422</v>
      </c>
      <c r="FK1" s="41" t="s">
        <v>9</v>
      </c>
      <c r="FL1" s="42"/>
      <c r="FM1" s="43" t="s">
        <v>422</v>
      </c>
      <c r="FN1" s="204" t="s">
        <v>9</v>
      </c>
      <c r="FO1" s="205" t="s">
        <v>10</v>
      </c>
      <c r="FP1" s="205" t="s">
        <v>422</v>
      </c>
      <c r="FQ1" s="216" t="s">
        <v>9</v>
      </c>
      <c r="FR1" s="205" t="s">
        <v>11</v>
      </c>
      <c r="FS1" s="205" t="s">
        <v>422</v>
      </c>
      <c r="FT1" s="216" t="s">
        <v>9</v>
      </c>
      <c r="FU1" s="205" t="s">
        <v>12</v>
      </c>
      <c r="FV1" s="205" t="s">
        <v>422</v>
      </c>
      <c r="FW1" s="216" t="s">
        <v>9</v>
      </c>
      <c r="FX1" s="205" t="s">
        <v>12</v>
      </c>
      <c r="FY1" s="206" t="s">
        <v>422</v>
      </c>
      <c r="FZ1" s="53" t="s">
        <v>9</v>
      </c>
      <c r="GA1" s="54"/>
      <c r="GB1" s="55" t="s">
        <v>422</v>
      </c>
      <c r="GC1" s="272" t="s">
        <v>9</v>
      </c>
      <c r="GD1" s="273" t="s">
        <v>10</v>
      </c>
      <c r="GE1" s="273" t="s">
        <v>422</v>
      </c>
      <c r="GF1" s="284" t="s">
        <v>9</v>
      </c>
      <c r="GG1" s="273" t="s">
        <v>11</v>
      </c>
      <c r="GH1" s="273" t="s">
        <v>422</v>
      </c>
      <c r="GI1" s="284" t="s">
        <v>9</v>
      </c>
      <c r="GJ1" s="273" t="s">
        <v>12</v>
      </c>
      <c r="GK1" s="273" t="s">
        <v>422</v>
      </c>
      <c r="GL1" s="284" t="s">
        <v>9</v>
      </c>
      <c r="GM1" s="273" t="s">
        <v>12</v>
      </c>
      <c r="GN1" s="274" t="s">
        <v>422</v>
      </c>
      <c r="GO1" s="65" t="s">
        <v>9</v>
      </c>
      <c r="GP1" s="66"/>
      <c r="GQ1" s="67" t="s">
        <v>422</v>
      </c>
      <c r="GR1" s="288" t="s">
        <v>9</v>
      </c>
      <c r="GS1" s="289" t="s">
        <v>10</v>
      </c>
      <c r="GT1" s="289" t="s">
        <v>422</v>
      </c>
      <c r="GU1" s="296" t="s">
        <v>9</v>
      </c>
      <c r="GV1" s="289" t="s">
        <v>11</v>
      </c>
      <c r="GW1" s="289" t="s">
        <v>422</v>
      </c>
      <c r="GX1" s="296" t="s">
        <v>9</v>
      </c>
      <c r="GY1" s="289" t="s">
        <v>12</v>
      </c>
      <c r="GZ1" s="289" t="s">
        <v>422</v>
      </c>
      <c r="HA1" s="296" t="s">
        <v>9</v>
      </c>
      <c r="HB1" s="289" t="s">
        <v>12</v>
      </c>
      <c r="HC1" s="289" t="s">
        <v>422</v>
      </c>
      <c r="HD1" s="157" t="s">
        <v>456</v>
      </c>
      <c r="HE1" s="158" t="s">
        <v>422</v>
      </c>
      <c r="HF1" s="159" t="s">
        <v>17</v>
      </c>
    </row>
    <row r="2" spans="1:214" x14ac:dyDescent="0.2">
      <c r="A2" s="433"/>
      <c r="B2" s="434"/>
      <c r="C2" s="435"/>
      <c r="D2" s="100" t="s">
        <v>18</v>
      </c>
      <c r="E2" s="101" t="s">
        <v>456</v>
      </c>
      <c r="F2" s="101" t="s">
        <v>19</v>
      </c>
      <c r="G2" s="261" t="s">
        <v>20</v>
      </c>
      <c r="H2" s="115" t="s">
        <v>456</v>
      </c>
      <c r="I2" s="115" t="s">
        <v>21</v>
      </c>
      <c r="J2" s="258" t="s">
        <v>11</v>
      </c>
      <c r="K2" s="107" t="s">
        <v>456</v>
      </c>
      <c r="L2" s="108" t="s">
        <v>22</v>
      </c>
      <c r="M2" s="120" t="s">
        <v>32</v>
      </c>
      <c r="N2" s="121" t="s">
        <v>33</v>
      </c>
      <c r="O2" s="131" t="s">
        <v>22</v>
      </c>
      <c r="P2" s="253" t="s">
        <v>32</v>
      </c>
      <c r="Q2" s="121" t="s">
        <v>33</v>
      </c>
      <c r="R2" s="131" t="s">
        <v>22</v>
      </c>
      <c r="S2" s="253" t="s">
        <v>32</v>
      </c>
      <c r="T2" s="121" t="s">
        <v>33</v>
      </c>
      <c r="U2" s="122" t="s">
        <v>22</v>
      </c>
      <c r="V2" s="91" t="s">
        <v>18</v>
      </c>
      <c r="W2" s="92" t="s">
        <v>456</v>
      </c>
      <c r="X2" s="92" t="s">
        <v>19</v>
      </c>
      <c r="Y2" s="249" t="s">
        <v>18</v>
      </c>
      <c r="Z2" s="92" t="s">
        <v>456</v>
      </c>
      <c r="AA2" s="93" t="s">
        <v>19</v>
      </c>
      <c r="AB2" s="150" t="s">
        <v>11</v>
      </c>
      <c r="AC2" s="244" t="s">
        <v>456</v>
      </c>
      <c r="AD2" s="83" t="s">
        <v>456</v>
      </c>
      <c r="AE2" s="244" t="s">
        <v>456</v>
      </c>
      <c r="AF2" s="244" t="s">
        <v>456</v>
      </c>
      <c r="AG2" s="83" t="s">
        <v>456</v>
      </c>
      <c r="AH2" s="164" t="s">
        <v>22</v>
      </c>
      <c r="AI2" s="136" t="s">
        <v>5</v>
      </c>
      <c r="AJ2" s="84" t="s">
        <v>34</v>
      </c>
      <c r="AK2" s="151" t="s">
        <v>22</v>
      </c>
      <c r="AL2" s="234" t="s">
        <v>5</v>
      </c>
      <c r="AM2" s="84" t="s">
        <v>34</v>
      </c>
      <c r="AN2" s="151" t="s">
        <v>22</v>
      </c>
      <c r="AO2" s="234" t="s">
        <v>5</v>
      </c>
      <c r="AP2" s="84" t="s">
        <v>34</v>
      </c>
      <c r="AQ2" s="137" t="s">
        <v>22</v>
      </c>
      <c r="AR2" s="144" t="s">
        <v>2</v>
      </c>
      <c r="AS2" s="86" t="s">
        <v>34</v>
      </c>
      <c r="AT2" s="152" t="s">
        <v>22</v>
      </c>
      <c r="AU2" s="237" t="s">
        <v>2</v>
      </c>
      <c r="AV2" s="86" t="s">
        <v>34</v>
      </c>
      <c r="AW2" s="152" t="s">
        <v>22</v>
      </c>
      <c r="AX2" s="237" t="s">
        <v>2</v>
      </c>
      <c r="AY2" s="86" t="s">
        <v>34</v>
      </c>
      <c r="AZ2" s="145" t="s">
        <v>22</v>
      </c>
      <c r="BA2" s="144" t="s">
        <v>4</v>
      </c>
      <c r="BB2" s="86" t="s">
        <v>34</v>
      </c>
      <c r="BC2" s="152" t="s">
        <v>22</v>
      </c>
      <c r="BD2" s="237" t="s">
        <v>4</v>
      </c>
      <c r="BE2" s="86" t="s">
        <v>34</v>
      </c>
      <c r="BF2" s="152" t="s">
        <v>22</v>
      </c>
      <c r="BG2" s="237" t="s">
        <v>4</v>
      </c>
      <c r="BH2" s="86" t="s">
        <v>34</v>
      </c>
      <c r="BI2" s="145" t="s">
        <v>22</v>
      </c>
      <c r="BJ2" s="144" t="s">
        <v>222</v>
      </c>
      <c r="BK2" s="86" t="s">
        <v>34</v>
      </c>
      <c r="BL2" s="152" t="s">
        <v>22</v>
      </c>
      <c r="BM2" s="237" t="s">
        <v>222</v>
      </c>
      <c r="BN2" s="86" t="s">
        <v>34</v>
      </c>
      <c r="BO2" s="152" t="s">
        <v>22</v>
      </c>
      <c r="BP2" s="237" t="s">
        <v>222</v>
      </c>
      <c r="BQ2" s="86" t="s">
        <v>34</v>
      </c>
      <c r="BR2" s="145" t="s">
        <v>22</v>
      </c>
      <c r="BS2" s="231" t="s">
        <v>18</v>
      </c>
      <c r="BT2" s="78" t="s">
        <v>456</v>
      </c>
      <c r="BU2" s="155" t="s">
        <v>19</v>
      </c>
      <c r="BV2" s="231" t="s">
        <v>23</v>
      </c>
      <c r="BW2" s="78" t="s">
        <v>456</v>
      </c>
      <c r="BX2" s="155" t="s">
        <v>21</v>
      </c>
      <c r="BY2" s="231" t="s">
        <v>11</v>
      </c>
      <c r="BZ2" s="78" t="s">
        <v>456</v>
      </c>
      <c r="CA2" s="155" t="s">
        <v>22</v>
      </c>
      <c r="CB2" s="231" t="s">
        <v>32</v>
      </c>
      <c r="CC2" s="78" t="s">
        <v>13</v>
      </c>
      <c r="CD2" s="155" t="s">
        <v>22</v>
      </c>
      <c r="CE2" s="231" t="s">
        <v>32</v>
      </c>
      <c r="CF2" s="78" t="s">
        <v>13</v>
      </c>
      <c r="CG2" s="155" t="s">
        <v>22</v>
      </c>
      <c r="CH2" s="231" t="s">
        <v>32</v>
      </c>
      <c r="CI2" s="78" t="s">
        <v>13</v>
      </c>
      <c r="CJ2" s="79" t="s">
        <v>22</v>
      </c>
      <c r="CK2" s="231" t="s">
        <v>303</v>
      </c>
      <c r="CL2" s="78"/>
      <c r="CM2" s="79" t="s">
        <v>22</v>
      </c>
      <c r="CN2" s="231" t="s">
        <v>11</v>
      </c>
      <c r="CO2" s="78"/>
      <c r="CP2" s="79" t="s">
        <v>22</v>
      </c>
      <c r="CQ2" s="231" t="s">
        <v>10</v>
      </c>
      <c r="CR2" s="78"/>
      <c r="CS2" s="79" t="s">
        <v>22</v>
      </c>
      <c r="CT2" s="385" t="s">
        <v>11</v>
      </c>
      <c r="CU2" s="386" t="s">
        <v>456</v>
      </c>
      <c r="CV2" s="387" t="s">
        <v>22</v>
      </c>
      <c r="CW2" s="266" t="s">
        <v>18</v>
      </c>
      <c r="CX2" s="175" t="s">
        <v>456</v>
      </c>
      <c r="CY2" s="175" t="s">
        <v>19</v>
      </c>
      <c r="CZ2" s="269" t="s">
        <v>20</v>
      </c>
      <c r="DA2" s="180" t="s">
        <v>456</v>
      </c>
      <c r="DB2" s="181" t="s">
        <v>25</v>
      </c>
      <c r="DC2" s="308" t="s">
        <v>26</v>
      </c>
      <c r="DD2" s="308" t="s">
        <v>456</v>
      </c>
      <c r="DE2" s="308" t="s">
        <v>25</v>
      </c>
      <c r="DF2" s="30" t="s">
        <v>26</v>
      </c>
      <c r="DG2" s="31" t="s">
        <v>456</v>
      </c>
      <c r="DH2" s="31" t="s">
        <v>29</v>
      </c>
      <c r="DI2" s="227" t="s">
        <v>26</v>
      </c>
      <c r="DJ2" s="31" t="s">
        <v>456</v>
      </c>
      <c r="DK2" s="31" t="s">
        <v>29</v>
      </c>
      <c r="DL2" s="227" t="s">
        <v>26</v>
      </c>
      <c r="DM2" s="31" t="s">
        <v>30</v>
      </c>
      <c r="DN2" s="31" t="s">
        <v>29</v>
      </c>
      <c r="DO2" s="227" t="s">
        <v>26</v>
      </c>
      <c r="DP2" s="31" t="s">
        <v>31</v>
      </c>
      <c r="DQ2" s="32" t="s">
        <v>29</v>
      </c>
      <c r="DR2" s="24" t="s">
        <v>27</v>
      </c>
      <c r="DS2" s="24" t="s">
        <v>456</v>
      </c>
      <c r="DT2" s="24" t="s">
        <v>25</v>
      </c>
      <c r="DU2" s="319" t="s">
        <v>27</v>
      </c>
      <c r="DV2" s="320" t="s">
        <v>456</v>
      </c>
      <c r="DW2" s="320" t="s">
        <v>29</v>
      </c>
      <c r="DX2" s="314" t="s">
        <v>27</v>
      </c>
      <c r="DY2" s="320" t="s">
        <v>456</v>
      </c>
      <c r="DZ2" s="320" t="s">
        <v>29</v>
      </c>
      <c r="EA2" s="314" t="s">
        <v>27</v>
      </c>
      <c r="EB2" s="320" t="s">
        <v>30</v>
      </c>
      <c r="EC2" s="320" t="s">
        <v>29</v>
      </c>
      <c r="ED2" s="314" t="s">
        <v>27</v>
      </c>
      <c r="EE2" s="320" t="s">
        <v>31</v>
      </c>
      <c r="EF2" s="321" t="s">
        <v>29</v>
      </c>
      <c r="EG2" s="19" t="s">
        <v>28</v>
      </c>
      <c r="EH2" s="19" t="s">
        <v>456</v>
      </c>
      <c r="EI2" s="19" t="s">
        <v>25</v>
      </c>
      <c r="EJ2" s="336" t="s">
        <v>28</v>
      </c>
      <c r="EK2" s="337" t="s">
        <v>456</v>
      </c>
      <c r="EL2" s="337" t="s">
        <v>29</v>
      </c>
      <c r="EM2" s="331" t="s">
        <v>28</v>
      </c>
      <c r="EN2" s="337" t="s">
        <v>456</v>
      </c>
      <c r="EO2" s="337" t="s">
        <v>29</v>
      </c>
      <c r="EP2" s="331" t="s">
        <v>28</v>
      </c>
      <c r="EQ2" s="337" t="s">
        <v>30</v>
      </c>
      <c r="ER2" s="337" t="s">
        <v>29</v>
      </c>
      <c r="ES2" s="331" t="s">
        <v>28</v>
      </c>
      <c r="ET2" s="337" t="s">
        <v>31</v>
      </c>
      <c r="EU2" s="338" t="s">
        <v>29</v>
      </c>
      <c r="EV2" s="38" t="s">
        <v>230</v>
      </c>
      <c r="EW2" s="38" t="s">
        <v>456</v>
      </c>
      <c r="EX2" s="38" t="s">
        <v>25</v>
      </c>
      <c r="EY2" s="195" t="s">
        <v>230</v>
      </c>
      <c r="EZ2" s="196" t="s">
        <v>456</v>
      </c>
      <c r="FA2" s="196" t="s">
        <v>29</v>
      </c>
      <c r="FB2" s="222" t="s">
        <v>230</v>
      </c>
      <c r="FC2" s="196" t="s">
        <v>456</v>
      </c>
      <c r="FD2" s="196" t="s">
        <v>29</v>
      </c>
      <c r="FE2" s="222" t="s">
        <v>230</v>
      </c>
      <c r="FF2" s="196" t="s">
        <v>30</v>
      </c>
      <c r="FG2" s="196" t="s">
        <v>29</v>
      </c>
      <c r="FH2" s="222" t="s">
        <v>230</v>
      </c>
      <c r="FI2" s="196" t="s">
        <v>31</v>
      </c>
      <c r="FJ2" s="197" t="s">
        <v>29</v>
      </c>
      <c r="FK2" s="44" t="s">
        <v>150</v>
      </c>
      <c r="FL2" s="45" t="s">
        <v>456</v>
      </c>
      <c r="FM2" s="46" t="s">
        <v>25</v>
      </c>
      <c r="FN2" s="207" t="s">
        <v>150</v>
      </c>
      <c r="FO2" s="208" t="s">
        <v>456</v>
      </c>
      <c r="FP2" s="208" t="s">
        <v>29</v>
      </c>
      <c r="FQ2" s="217" t="s">
        <v>150</v>
      </c>
      <c r="FR2" s="208" t="s">
        <v>456</v>
      </c>
      <c r="FS2" s="208" t="s">
        <v>29</v>
      </c>
      <c r="FT2" s="217" t="s">
        <v>150</v>
      </c>
      <c r="FU2" s="208" t="s">
        <v>30</v>
      </c>
      <c r="FV2" s="208" t="s">
        <v>29</v>
      </c>
      <c r="FW2" s="217" t="s">
        <v>150</v>
      </c>
      <c r="FX2" s="208" t="s">
        <v>31</v>
      </c>
      <c r="FY2" s="209" t="s">
        <v>29</v>
      </c>
      <c r="FZ2" s="56" t="s">
        <v>231</v>
      </c>
      <c r="GA2" s="57" t="s">
        <v>456</v>
      </c>
      <c r="GB2" s="58" t="s">
        <v>25</v>
      </c>
      <c r="GC2" s="275" t="s">
        <v>231</v>
      </c>
      <c r="GD2" s="276" t="s">
        <v>456</v>
      </c>
      <c r="GE2" s="276" t="s">
        <v>29</v>
      </c>
      <c r="GF2" s="285" t="s">
        <v>231</v>
      </c>
      <c r="GG2" s="276" t="s">
        <v>456</v>
      </c>
      <c r="GH2" s="276" t="s">
        <v>29</v>
      </c>
      <c r="GI2" s="285" t="s">
        <v>231</v>
      </c>
      <c r="GJ2" s="276" t="s">
        <v>30</v>
      </c>
      <c r="GK2" s="276" t="s">
        <v>29</v>
      </c>
      <c r="GL2" s="285" t="s">
        <v>231</v>
      </c>
      <c r="GM2" s="276" t="s">
        <v>31</v>
      </c>
      <c r="GN2" s="277" t="s">
        <v>29</v>
      </c>
      <c r="GO2" s="22" t="s">
        <v>232</v>
      </c>
      <c r="GP2" s="68" t="s">
        <v>456</v>
      </c>
      <c r="GQ2" s="69" t="s">
        <v>25</v>
      </c>
      <c r="GR2" s="290" t="s">
        <v>232</v>
      </c>
      <c r="GS2" s="291" t="s">
        <v>456</v>
      </c>
      <c r="GT2" s="291" t="s">
        <v>29</v>
      </c>
      <c r="GU2" s="297" t="s">
        <v>232</v>
      </c>
      <c r="GV2" s="291" t="s">
        <v>456</v>
      </c>
      <c r="GW2" s="291" t="s">
        <v>29</v>
      </c>
      <c r="GX2" s="297" t="s">
        <v>232</v>
      </c>
      <c r="GY2" s="291" t="s">
        <v>30</v>
      </c>
      <c r="GZ2" s="291" t="s">
        <v>29</v>
      </c>
      <c r="HA2" s="297" t="s">
        <v>232</v>
      </c>
      <c r="HB2" s="291" t="s">
        <v>31</v>
      </c>
      <c r="HC2" s="291" t="s">
        <v>29</v>
      </c>
      <c r="HD2" s="160" t="s">
        <v>22</v>
      </c>
      <c r="HE2" s="161" t="s">
        <v>33</v>
      </c>
      <c r="HF2" s="162" t="s">
        <v>35</v>
      </c>
    </row>
    <row r="3" spans="1:214" x14ac:dyDescent="0.2">
      <c r="A3" s="433"/>
      <c r="B3" s="434"/>
      <c r="C3" s="435"/>
      <c r="D3" s="100" t="s">
        <v>36</v>
      </c>
      <c r="E3" s="408" t="e">
        <f>1/((1/E20)+(1/E21))</f>
        <v>#DIV/0!</v>
      </c>
      <c r="F3" s="168"/>
      <c r="G3" s="261"/>
      <c r="H3" s="408" t="e">
        <f>1/((1/H10)+(1/H11)+(1/H12)+(1/H13))</f>
        <v>#DIV/0!</v>
      </c>
      <c r="I3" s="167"/>
      <c r="J3" s="258"/>
      <c r="K3" s="408">
        <f>1/((1/K14)+(1/K15)+(1/K16+(1/K17)))</f>
        <v>0.19107997329291479</v>
      </c>
      <c r="L3" s="110"/>
      <c r="M3" s="120" t="s">
        <v>475</v>
      </c>
      <c r="N3" s="123">
        <f>(N5*N6*N7)/((1-EXP(-N7*N6))*N10*N15*(N9/365)*N13*((N14*N12)+(N16*N11)))</f>
        <v>0.28578204910089783</v>
      </c>
      <c r="O3" s="131"/>
      <c r="P3" s="253" t="s">
        <v>475</v>
      </c>
      <c r="Q3" s="123" t="e">
        <f>(Q5*Q6*Q7)/((1-EXP(-Q7*Q6))*Q10*Q15*(Q9/365)*Q13*((Q14*Q12)+(Q16*Q11)))</f>
        <v>#DIV/0!</v>
      </c>
      <c r="R3" s="131"/>
      <c r="S3" s="253" t="s">
        <v>475</v>
      </c>
      <c r="T3" s="123" t="e">
        <f>(T5*T6*T7)/((1-EXP(-T7*T6))*T10*T15*(T9/365)*T13*((T14*T12)+(T16*T11)))</f>
        <v>#DIV/0!</v>
      </c>
      <c r="U3" s="122"/>
      <c r="V3" s="91" t="s">
        <v>37</v>
      </c>
      <c r="W3" s="94" t="e">
        <f>1/((1/W18)+(1/W19))</f>
        <v>#DIV/0!</v>
      </c>
      <c r="X3" s="127"/>
      <c r="Y3" s="250" t="s">
        <v>37</v>
      </c>
      <c r="Z3" s="94" t="e">
        <f>1/((1/Z18)+(1/Z19))</f>
        <v>#DIV/0!</v>
      </c>
      <c r="AA3" s="95"/>
      <c r="AB3" s="150"/>
      <c r="AC3" s="245">
        <f>1/((1/AC37)+(1/AC38)+(1/AC39))</f>
        <v>0.41102479256764396</v>
      </c>
      <c r="AD3" s="132">
        <f>1/((1/AD37)+(1/AD38)+(1/AD39))</f>
        <v>1.0248087602293916</v>
      </c>
      <c r="AE3" s="245">
        <f>1/((1/AE37)+(1/AE38)+(1/AE39))</f>
        <v>0.45669421396404891</v>
      </c>
      <c r="AF3" s="245">
        <f>1/((1/AF37)+(1/AF38)+(1/AF39))</f>
        <v>0.28114318460903048</v>
      </c>
      <c r="AG3" s="132">
        <f>1/((1/AG37)+(1/AG39)+(1/AG40))</f>
        <v>0.28781255223977736</v>
      </c>
      <c r="AH3" s="165"/>
      <c r="AI3" s="136" t="s">
        <v>475</v>
      </c>
      <c r="AJ3" s="85">
        <f>(AJ5*AJ6*AJ7)/((1-EXP(-AJ7*AJ6))*AJ10*AJ15*(AJ9/365)*AJ13*((AJ14*AJ12)+(AJ16*AJ11)))</f>
        <v>1.0386217899274999</v>
      </c>
      <c r="AK3" s="151"/>
      <c r="AL3" s="234" t="s">
        <v>475</v>
      </c>
      <c r="AM3" s="85" t="e">
        <f>(AM5*AM6*AM7)/((1-EXP(-AM7*AM6))*AM10*AM15*(AM9/365)*AM13*((AM14*AM12)+(AM16*AM11)))</f>
        <v>#DIV/0!</v>
      </c>
      <c r="AN3" s="151"/>
      <c r="AO3" s="234" t="s">
        <v>475</v>
      </c>
      <c r="AP3" s="85" t="e">
        <f>(AP5*AP6*AP7)/((1-EXP(-AP7*AP6))*AP10*AP15*(AP9/365)*AP13*((AP14*AP12)+(AP16*AP11)))</f>
        <v>#DIV/0!</v>
      </c>
      <c r="AQ3" s="137"/>
      <c r="AR3" s="144" t="s">
        <v>475</v>
      </c>
      <c r="AS3" s="87">
        <f>(AS5*AS6*AS7)/((1-EXP(-AS7*AS6))*AS10*AS15*(AS9/365)*AS13*((AS14*AS12)+(AS16*AS11)))</f>
        <v>0.46160968441222211</v>
      </c>
      <c r="AT3" s="152"/>
      <c r="AU3" s="237" t="s">
        <v>475</v>
      </c>
      <c r="AV3" s="87" t="e">
        <f>(AV5*AV6*AV7)/((1-EXP(-AV7*AV6))*AV10*AV15*(AV9/365)*AV13*((AV14*AV12)+(AV16*AV11)))</f>
        <v>#DIV/0!</v>
      </c>
      <c r="AW3" s="152"/>
      <c r="AX3" s="237" t="s">
        <v>475</v>
      </c>
      <c r="AY3" s="87" t="e">
        <f>(AY5*AY6*AY7)/((1-EXP(-AY7*AY6))*AY10*AY15*(AY9/365)*AY13*((AY14*AY12)+(AY16*AY11)))</f>
        <v>#DIV/0!</v>
      </c>
      <c r="AZ3" s="145"/>
      <c r="BA3" s="144" t="s">
        <v>475</v>
      </c>
      <c r="BB3" s="87">
        <f>(BB5*BB6*BB7)/((1-EXP(-BB7*BB6))*BB10*BB15*(BB9/365)*BB13*((BB14*BB12)+(BB16*BB11)))</f>
        <v>0.41544871597099997</v>
      </c>
      <c r="BC3" s="152"/>
      <c r="BD3" s="237" t="s">
        <v>475</v>
      </c>
      <c r="BE3" s="87" t="e">
        <f>(BE5*BE6*BE7)/((1-EXP(-BE7*BE6))*BE10*BE15*(BE9/365)*BE13*((BE14*BE12)+(BE16*BE11)))</f>
        <v>#DIV/0!</v>
      </c>
      <c r="BF3" s="152"/>
      <c r="BG3" s="237" t="s">
        <v>475</v>
      </c>
      <c r="BH3" s="87" t="e">
        <f>(BH5*BH6*BH7)/((1-EXP(-BH7*BH6))*BH10*BH15*(BH9/365)*BH13*((BH14*BH12)+(BH16*BH11)))</f>
        <v>#DIV/0!</v>
      </c>
      <c r="BI3" s="145"/>
      <c r="BJ3" s="144" t="s">
        <v>475</v>
      </c>
      <c r="BK3" s="87">
        <f>(BK5*BK6*BK7)/((1-EXP(-BK7*BK6))*BK12*BK16*(BK9/365)*BK14*BK15*BK13)</f>
        <v>2277.4574668901923</v>
      </c>
      <c r="BL3" s="152"/>
      <c r="BM3" s="237" t="s">
        <v>475</v>
      </c>
      <c r="BN3" s="87" t="e">
        <f>(BN5*BN6*BN7)/((1-EXP(-BN7*BN6))*BN12*BN16*(BN9/365)*BN14*BN15*BN13)</f>
        <v>#DIV/0!</v>
      </c>
      <c r="BO3" s="152"/>
      <c r="BP3" s="237" t="s">
        <v>475</v>
      </c>
      <c r="BQ3" s="87" t="e">
        <f>(BQ5*BQ6*BQ7)/((1-EXP(-BQ7*BQ6))*BQ12*BQ16*(BQ9/365)*BQ14*BQ15*BQ13)</f>
        <v>#DIV/0!</v>
      </c>
      <c r="BR3" s="145"/>
      <c r="BS3" s="231" t="s">
        <v>36</v>
      </c>
      <c r="BT3" s="80" t="e">
        <f>1/((1/BT21)+(1/BT22))</f>
        <v>#DIV/0!</v>
      </c>
      <c r="BU3" s="155"/>
      <c r="BV3" s="231"/>
      <c r="BW3" s="80" t="e">
        <f>1/((1/BW10)+(1/BW12))</f>
        <v>#DIV/0!</v>
      </c>
      <c r="BX3" s="155"/>
      <c r="BY3" s="231"/>
      <c r="BZ3" s="80">
        <f>1/((1/BZ13)+(1/BZ14)+(1/BZ15))</f>
        <v>42.944249093673122</v>
      </c>
      <c r="CA3" s="155"/>
      <c r="CB3" s="231" t="s">
        <v>475</v>
      </c>
      <c r="CC3" s="80">
        <f>(CC5*CC6*CC7)/((1-EXP(-CC7*CC6))*CC10*CC14*(CC9/365)*CC12*(CC13/24)*CC11)</f>
        <v>112.83222837913259</v>
      </c>
      <c r="CD3" s="155"/>
      <c r="CE3" s="231" t="s">
        <v>475</v>
      </c>
      <c r="CF3" s="80" t="e">
        <f>(CF5*CF6*CF7)/((1-EXP(-CF7*CF6))*CF10*CF14*(CF9/365)*CF12*(CF13/24)*CF11)</f>
        <v>#DIV/0!</v>
      </c>
      <c r="CG3" s="155"/>
      <c r="CH3" s="231" t="s">
        <v>475</v>
      </c>
      <c r="CI3" s="80" t="e">
        <f>(CI5*CI6*CI7)/((1-EXP(-CI7*CI6))*CI10*CI14*(CI9/365)*CI12*(CI13/24)*CI11)</f>
        <v>#DIV/0!</v>
      </c>
      <c r="CJ3" s="79"/>
      <c r="CK3" s="231" t="s">
        <v>456</v>
      </c>
      <c r="CL3" s="80">
        <f>CL5/(CL6*CL7*CL8*CL9)</f>
        <v>12.820512820512821</v>
      </c>
      <c r="CM3" s="79"/>
      <c r="CN3" s="231" t="s">
        <v>456</v>
      </c>
      <c r="CO3" s="80" t="e">
        <f>CL3/(CO5*((CO10*CO12*CO13*(CO6+CO7))+(CO11*CO12)))</f>
        <v>#DIV/0!</v>
      </c>
      <c r="CP3" s="79"/>
      <c r="CQ3" s="231" t="s">
        <v>456</v>
      </c>
      <c r="CR3" s="80" t="e">
        <f>CL3/(CR5*CR6*(1/CR7))</f>
        <v>#DIV/0!</v>
      </c>
      <c r="CS3" s="79"/>
      <c r="CT3" s="385"/>
      <c r="CU3" s="388">
        <f>1/((1/CU14)+(1/CU15)+(1/CU16+(1/CU17)))</f>
        <v>7.1274494575511785E-2</v>
      </c>
      <c r="CV3" s="389"/>
      <c r="CW3" s="266" t="s">
        <v>36</v>
      </c>
      <c r="CX3" s="176" t="e">
        <f>1/((1/CX20)+(1/CX21))</f>
        <v>#DIV/0!</v>
      </c>
      <c r="CY3" s="263"/>
      <c r="CZ3" s="270"/>
      <c r="DA3" s="182" t="e">
        <f>1/((1/DA13)+(1/DA14)+(1/DA15)+(1/DA16))</f>
        <v>#DIV/0!</v>
      </c>
      <c r="DB3" s="183"/>
      <c r="DC3" s="308"/>
      <c r="DD3" s="313">
        <f>DD7</f>
        <v>3.6255397522306138E-2</v>
      </c>
      <c r="DE3" s="309" t="s">
        <v>384</v>
      </c>
      <c r="DF3" s="30"/>
      <c r="DG3" s="33">
        <f>DD7/((1/DG24)*(DG5+DG6+DG7))</f>
        <v>2.8072815673160694</v>
      </c>
      <c r="DH3" s="186" t="s">
        <v>384</v>
      </c>
      <c r="DI3" s="227"/>
      <c r="DJ3" s="33">
        <f>DD7/(DJ5+DJ6)</f>
        <v>0.13890956905098137</v>
      </c>
      <c r="DK3" s="186" t="s">
        <v>384</v>
      </c>
      <c r="DL3" s="227"/>
      <c r="DM3" s="33">
        <f>(DD7)/(DM5+DM6)</f>
        <v>0.13890956905098137</v>
      </c>
      <c r="DN3" s="186"/>
      <c r="DO3" s="227"/>
      <c r="DP3" s="33">
        <f>-(DP5+DP6+DP7)/(DP23+DP24)</f>
        <v>-49.702044174744607</v>
      </c>
      <c r="DQ3" s="34"/>
      <c r="DR3" s="24"/>
      <c r="DS3" s="25">
        <f>DS7</f>
        <v>4.8957546952735414E-3</v>
      </c>
      <c r="DT3" s="170" t="s">
        <v>384</v>
      </c>
      <c r="DU3" s="319"/>
      <c r="DV3" s="322">
        <f>DS7/(DV5*DV6)</f>
        <v>5.3214724948625454E-2</v>
      </c>
      <c r="DW3" s="323"/>
      <c r="DX3" s="314"/>
      <c r="DY3" s="322">
        <f>DS7/(DY9*((DY10*DY12*DY13*(DY5+DY6))+(DY11*DY12)))</f>
        <v>1.0562577551830725</v>
      </c>
      <c r="DZ3" s="323" t="s">
        <v>384</v>
      </c>
      <c r="EA3" s="314"/>
      <c r="EB3" s="322">
        <f>DS7/(EB9*((EB10*EB12*EB13*(EB5+EB6))+(EB11*EB12)))</f>
        <v>1.0562577551830725</v>
      </c>
      <c r="EC3" s="323"/>
      <c r="ED3" s="314"/>
      <c r="EE3" s="322">
        <f>-EE15/((EE10*EE12*EE13*(EE5+EE6))+(EE11*EE12))</f>
        <v>-19.848975188781015</v>
      </c>
      <c r="EF3" s="324"/>
      <c r="EG3" s="19"/>
      <c r="EH3" s="20">
        <f>EH7</f>
        <v>2.3118092282357412E-2</v>
      </c>
      <c r="EI3" s="189" t="s">
        <v>384</v>
      </c>
      <c r="EJ3" s="336"/>
      <c r="EK3" s="339">
        <f>EH7/(EK5*EK6)</f>
        <v>0.43619042042183798</v>
      </c>
      <c r="EL3" s="340"/>
      <c r="EM3" s="331"/>
      <c r="EN3" s="339">
        <f>EH7/(EN9*((EN10*EN12*EN13*(EN5+EN6))+(EN11*EN12)))</f>
        <v>6.9371619752010236</v>
      </c>
      <c r="EO3" s="340" t="s">
        <v>384</v>
      </c>
      <c r="EP3" s="331"/>
      <c r="EQ3" s="339">
        <f>EH7/(EQ9*((EQ10*EQ12*EQ13*(EQ5+EQ6))+(EQ11*EQ12)))</f>
        <v>6.9371619752010236</v>
      </c>
      <c r="ER3" s="340"/>
      <c r="ES3" s="331"/>
      <c r="ET3" s="339">
        <f>-ET15/((ET10*ET12*ET13*(ET5+ET6))+(ET11*ET12))</f>
        <v>-15.9039759939985</v>
      </c>
      <c r="EU3" s="341"/>
      <c r="EV3" s="191"/>
      <c r="EW3" s="39">
        <f>EW7</f>
        <v>7.7075115507090911E-2</v>
      </c>
      <c r="EX3" s="191" t="s">
        <v>384</v>
      </c>
      <c r="EY3" s="198"/>
      <c r="EZ3" s="199" t="e">
        <f>EW7/(EZ5*EZ6*(1/EZ7))</f>
        <v>#DIV/0!</v>
      </c>
      <c r="FA3" s="199"/>
      <c r="FB3" s="223"/>
      <c r="FC3" s="199" t="e">
        <f>EW7/(FC9*((FC10*FC12*FC13*(FC5+FC6))+(FC11*FC12)))</f>
        <v>#DIV/0!</v>
      </c>
      <c r="FD3" s="220" t="s">
        <v>384</v>
      </c>
      <c r="FE3" s="225"/>
      <c r="FF3" s="199">
        <f>EW7/(FF9*(FF10*FF12*FF13*(FF5*FF6))+(FF11*FF12))</f>
        <v>3.5034143412314052</v>
      </c>
      <c r="FG3" s="199"/>
      <c r="FH3" s="223"/>
      <c r="FI3" s="199">
        <f>FI15/((FI10*FI12*FI13*(FI5+FI6))+(FI11*FI12))</f>
        <v>5.4794520547945202</v>
      </c>
      <c r="FJ3" s="203"/>
      <c r="FK3" s="47"/>
      <c r="FL3" s="48">
        <f>FL7</f>
        <v>2.5137810296998069E-2</v>
      </c>
      <c r="FM3" s="49"/>
      <c r="FN3" s="210"/>
      <c r="FO3" s="211">
        <f>FL7/(FR5*(1/FO7))</f>
        <v>0.50275620593996129</v>
      </c>
      <c r="FP3" s="211"/>
      <c r="FQ3" s="218"/>
      <c r="FR3" s="211">
        <f>(FL7*FR6)/FR5</f>
        <v>4.1226008887076835E-3</v>
      </c>
      <c r="FS3" s="211"/>
      <c r="FT3" s="218"/>
      <c r="FU3" s="211">
        <f>(FL7*FU15)/FU14</f>
        <v>4.1226008887076835E-3</v>
      </c>
      <c r="FV3" s="211"/>
      <c r="FW3" s="218"/>
      <c r="FX3" s="211">
        <f>-FX29/FX30</f>
        <v>-8.199999999999999E-3</v>
      </c>
      <c r="FY3" s="212"/>
      <c r="FZ3" s="59"/>
      <c r="GA3" s="60">
        <f>GA7</f>
        <v>3.2159950376756029E-2</v>
      </c>
      <c r="GB3" s="61" t="s">
        <v>384</v>
      </c>
      <c r="GC3" s="278"/>
      <c r="GD3" s="279" t="e">
        <f>FL7/(GD5*GD6*(1/GD7))</f>
        <v>#DIV/0!</v>
      </c>
      <c r="GE3" s="279"/>
      <c r="GF3" s="286"/>
      <c r="GG3" s="279" t="e">
        <f>GA7/((GG9)*((GG10*GG12*GG13*(GG5+GG6))+(GG11*GG12)))</f>
        <v>#DIV/0!</v>
      </c>
      <c r="GH3" s="279" t="s">
        <v>384</v>
      </c>
      <c r="GI3" s="286"/>
      <c r="GJ3" s="279">
        <f>FL7/(GJ9*(GJ10*GJ12*GJ13*(GJ5*GJ6))+(GJ11*GJ12))</f>
        <v>1.1426277407726395</v>
      </c>
      <c r="GK3" s="279"/>
      <c r="GL3" s="286"/>
      <c r="GM3" s="279">
        <f>GM15/((GM10*GM12*GM13*(GM5+GM6))+(GM11*GM12))</f>
        <v>5.4794520547945202</v>
      </c>
      <c r="GN3" s="280"/>
      <c r="GO3" s="70"/>
      <c r="GP3" s="71">
        <f>GP7</f>
        <v>4.14016206749485E-2</v>
      </c>
      <c r="GQ3" s="72" t="s">
        <v>384</v>
      </c>
      <c r="GR3" s="292"/>
      <c r="GS3" s="293" t="e">
        <f>GP7/(GS5*GS6*(1/GS7))</f>
        <v>#DIV/0!</v>
      </c>
      <c r="GT3" s="293"/>
      <c r="GU3" s="298"/>
      <c r="GV3" s="293" t="e">
        <f>GP7/((GV9)*((GV10*GV12*GV13*(GV5+GV6))+(GV11*GV12)))</f>
        <v>#DIV/0!</v>
      </c>
      <c r="GW3" s="293" t="s">
        <v>384</v>
      </c>
      <c r="GX3" s="298"/>
      <c r="GY3" s="293" t="e">
        <f>GP7/((GY9*((GY10*GY12*GY13*(GY5+GY6))+(GY11*GY12))))</f>
        <v>#DIV/0!</v>
      </c>
      <c r="GZ3" s="293"/>
      <c r="HA3" s="298"/>
      <c r="HB3" s="293">
        <f>GP7/((HB10*HB12*HB13*(HB5+HB6))+(HB11*HB12))</f>
        <v>2.6395677829103278E-2</v>
      </c>
      <c r="HC3" s="300"/>
      <c r="HD3" s="302">
        <f>HE5*HE13*10^-3*(HE14+(HE9/HE10))*((HE11*HE7)/(1-EXP(-HE7*HE11)))</f>
        <v>1.2671079031257728</v>
      </c>
      <c r="HE3" s="303"/>
      <c r="HF3" s="162" t="s">
        <v>38</v>
      </c>
    </row>
    <row r="4" spans="1:214" ht="13.5" thickBot="1" x14ac:dyDescent="0.25">
      <c r="A4" s="436"/>
      <c r="B4" s="437"/>
      <c r="C4" s="438"/>
      <c r="D4" s="102" t="s">
        <v>37</v>
      </c>
      <c r="E4" s="409" t="e">
        <f>1/((1/E22)+(1/E23))</f>
        <v>#DIV/0!</v>
      </c>
      <c r="F4" s="256"/>
      <c r="G4" s="262"/>
      <c r="H4" s="116"/>
      <c r="I4" s="255"/>
      <c r="J4" s="259" t="s">
        <v>422</v>
      </c>
      <c r="K4" s="112" t="s">
        <v>33</v>
      </c>
      <c r="L4" s="113"/>
      <c r="M4" s="124"/>
      <c r="N4" s="125"/>
      <c r="O4" s="169"/>
      <c r="P4" s="254"/>
      <c r="Q4" s="125"/>
      <c r="R4" s="169"/>
      <c r="S4" s="254"/>
      <c r="T4" s="125"/>
      <c r="U4" s="126"/>
      <c r="V4" s="130" t="s">
        <v>36</v>
      </c>
      <c r="W4" s="96" t="e">
        <f>1/((1/W16)+(1/W17))</f>
        <v>#DIV/0!</v>
      </c>
      <c r="X4" s="128"/>
      <c r="Y4" s="251" t="s">
        <v>36</v>
      </c>
      <c r="Z4" s="96" t="e">
        <f>1/((1/Z16)+(1/Z17))</f>
        <v>#DIV/0!</v>
      </c>
      <c r="AA4" s="97"/>
      <c r="AB4" s="239" t="s">
        <v>422</v>
      </c>
      <c r="AC4" s="246" t="s">
        <v>39</v>
      </c>
      <c r="AD4" s="241" t="s">
        <v>40</v>
      </c>
      <c r="AE4" s="246" t="s">
        <v>41</v>
      </c>
      <c r="AF4" s="247" t="s">
        <v>42</v>
      </c>
      <c r="AG4" s="242" t="s">
        <v>42</v>
      </c>
      <c r="AH4" s="166"/>
      <c r="AI4" s="138" t="s">
        <v>32</v>
      </c>
      <c r="AJ4" s="139"/>
      <c r="AK4" s="153"/>
      <c r="AL4" s="235" t="s">
        <v>32</v>
      </c>
      <c r="AM4" s="139"/>
      <c r="AN4" s="153"/>
      <c r="AO4" s="235" t="s">
        <v>32</v>
      </c>
      <c r="AP4" s="139"/>
      <c r="AQ4" s="140"/>
      <c r="AR4" s="146" t="s">
        <v>32</v>
      </c>
      <c r="AS4" s="147"/>
      <c r="AT4" s="154"/>
      <c r="AU4" s="238" t="s">
        <v>32</v>
      </c>
      <c r="AV4" s="147"/>
      <c r="AW4" s="154"/>
      <c r="AX4" s="238" t="s">
        <v>32</v>
      </c>
      <c r="AY4" s="147"/>
      <c r="AZ4" s="148"/>
      <c r="BA4" s="146" t="s">
        <v>32</v>
      </c>
      <c r="BB4" s="147"/>
      <c r="BC4" s="154"/>
      <c r="BD4" s="238" t="s">
        <v>32</v>
      </c>
      <c r="BE4" s="147"/>
      <c r="BF4" s="154"/>
      <c r="BG4" s="238" t="s">
        <v>32</v>
      </c>
      <c r="BH4" s="147"/>
      <c r="BI4" s="148"/>
      <c r="BJ4" s="146" t="s">
        <v>32</v>
      </c>
      <c r="BK4" s="147"/>
      <c r="BL4" s="154"/>
      <c r="BM4" s="238" t="s">
        <v>32</v>
      </c>
      <c r="BN4" s="147"/>
      <c r="BO4" s="154"/>
      <c r="BP4" s="238" t="s">
        <v>32</v>
      </c>
      <c r="BQ4" s="147"/>
      <c r="BR4" s="148"/>
      <c r="BS4" s="232" t="s">
        <v>37</v>
      </c>
      <c r="BT4" s="81" t="e">
        <f>1/((1/BT23)+(1/BT24))</f>
        <v>#DIV/0!</v>
      </c>
      <c r="BU4" s="156"/>
      <c r="BV4" s="232"/>
      <c r="BW4" s="81"/>
      <c r="BX4" s="156"/>
      <c r="BY4" s="232" t="s">
        <v>422</v>
      </c>
      <c r="BZ4" s="81" t="s">
        <v>33</v>
      </c>
      <c r="CA4" s="156"/>
      <c r="CB4" s="232"/>
      <c r="CC4" s="81"/>
      <c r="CD4" s="156"/>
      <c r="CE4" s="232"/>
      <c r="CF4" s="81"/>
      <c r="CG4" s="156"/>
      <c r="CH4" s="232"/>
      <c r="CI4" s="81"/>
      <c r="CJ4" s="82"/>
      <c r="CK4" s="232"/>
      <c r="CL4" s="81"/>
      <c r="CM4" s="82"/>
      <c r="CN4" s="232"/>
      <c r="CO4" s="81"/>
      <c r="CP4" s="82"/>
      <c r="CQ4" s="232"/>
      <c r="CR4" s="81"/>
      <c r="CS4" s="82"/>
      <c r="CT4" s="390" t="s">
        <v>422</v>
      </c>
      <c r="CU4" s="391" t="s">
        <v>9</v>
      </c>
      <c r="CV4" s="392"/>
      <c r="CW4" s="267" t="s">
        <v>37</v>
      </c>
      <c r="CX4" s="177" t="e">
        <f>1/((1/CX22)+(1/CX23))</f>
        <v>#DIV/0!</v>
      </c>
      <c r="CY4" s="264"/>
      <c r="CZ4" s="271"/>
      <c r="DA4" s="184"/>
      <c r="DB4" s="185"/>
      <c r="DC4" s="310"/>
      <c r="DD4" s="311"/>
      <c r="DE4" s="312"/>
      <c r="DF4" s="35"/>
      <c r="DG4" s="36"/>
      <c r="DH4" s="173"/>
      <c r="DI4" s="229"/>
      <c r="DJ4" s="36"/>
      <c r="DK4" s="187"/>
      <c r="DL4" s="229"/>
      <c r="DM4" s="36"/>
      <c r="DN4" s="173"/>
      <c r="DO4" s="229"/>
      <c r="DP4" s="36"/>
      <c r="DQ4" s="228"/>
      <c r="DR4" s="188"/>
      <c r="DS4" s="26"/>
      <c r="DT4" s="171"/>
      <c r="DU4" s="325"/>
      <c r="DV4" s="326"/>
      <c r="DW4" s="327"/>
      <c r="DX4" s="328"/>
      <c r="DY4" s="326"/>
      <c r="DZ4" s="329"/>
      <c r="EA4" s="328"/>
      <c r="EB4" s="326"/>
      <c r="EC4" s="327"/>
      <c r="ED4" s="328"/>
      <c r="EE4" s="326"/>
      <c r="EF4" s="330"/>
      <c r="EG4" s="172"/>
      <c r="EH4" s="21"/>
      <c r="EI4" s="190"/>
      <c r="EJ4" s="342"/>
      <c r="EK4" s="343"/>
      <c r="EL4" s="344"/>
      <c r="EM4" s="345"/>
      <c r="EN4" s="343"/>
      <c r="EO4" s="346"/>
      <c r="EP4" s="345"/>
      <c r="EQ4" s="343"/>
      <c r="ER4" s="344"/>
      <c r="ES4" s="345"/>
      <c r="ET4" s="343"/>
      <c r="EU4" s="347"/>
      <c r="EV4" s="40"/>
      <c r="EW4" s="40"/>
      <c r="EX4" s="40"/>
      <c r="EY4" s="200"/>
      <c r="EZ4" s="201"/>
      <c r="FA4" s="201"/>
      <c r="FB4" s="224"/>
      <c r="FC4" s="201"/>
      <c r="FD4" s="201"/>
      <c r="FE4" s="224"/>
      <c r="FF4" s="201"/>
      <c r="FG4" s="201"/>
      <c r="FH4" s="224"/>
      <c r="FI4" s="201"/>
      <c r="FJ4" s="202"/>
      <c r="FK4" s="50"/>
      <c r="FL4" s="51" t="s">
        <v>384</v>
      </c>
      <c r="FM4" s="52"/>
      <c r="FN4" s="213"/>
      <c r="FO4" s="214"/>
      <c r="FP4" s="214"/>
      <c r="FQ4" s="219"/>
      <c r="FR4" s="214" t="s">
        <v>384</v>
      </c>
      <c r="FS4" s="214"/>
      <c r="FT4" s="219"/>
      <c r="FU4" s="214"/>
      <c r="FV4" s="214"/>
      <c r="FW4" s="219"/>
      <c r="FX4" s="214"/>
      <c r="FY4" s="215"/>
      <c r="FZ4" s="62"/>
      <c r="GA4" s="63"/>
      <c r="GB4" s="64"/>
      <c r="GC4" s="281"/>
      <c r="GD4" s="282"/>
      <c r="GE4" s="282"/>
      <c r="GF4" s="287"/>
      <c r="GG4" s="282"/>
      <c r="GH4" s="282"/>
      <c r="GI4" s="287"/>
      <c r="GJ4" s="282"/>
      <c r="GK4" s="282"/>
      <c r="GL4" s="287"/>
      <c r="GM4" s="282"/>
      <c r="GN4" s="283"/>
      <c r="GO4" s="73"/>
      <c r="GP4" s="74"/>
      <c r="GQ4" s="75"/>
      <c r="GR4" s="294"/>
      <c r="GS4" s="295"/>
      <c r="GT4" s="295"/>
      <c r="GU4" s="299"/>
      <c r="GV4" s="295"/>
      <c r="GW4" s="295"/>
      <c r="GX4" s="299"/>
      <c r="GY4" s="295"/>
      <c r="GZ4" s="295"/>
      <c r="HA4" s="299"/>
      <c r="HB4" s="295"/>
      <c r="HC4" s="301"/>
      <c r="HD4" s="304" t="e">
        <f>HE6*HE13*10^-3*(HE14+(HE9/HE10))*((HE11*HE7)/(1-EXP(-HE7*HE11)))</f>
        <v>#DIV/0!</v>
      </c>
      <c r="HE4" s="305"/>
      <c r="HF4" s="306" t="s">
        <v>43</v>
      </c>
    </row>
    <row r="5" spans="1:214" ht="13.5" thickTop="1" x14ac:dyDescent="0.2">
      <c r="A5" t="s">
        <v>436</v>
      </c>
      <c r="B5" s="410">
        <v>1.2999999999999999E-2</v>
      </c>
      <c r="C5" t="s">
        <v>448</v>
      </c>
      <c r="D5" t="s">
        <v>485</v>
      </c>
      <c r="E5" s="1">
        <v>1</v>
      </c>
      <c r="G5" t="s">
        <v>485</v>
      </c>
      <c r="H5" s="1">
        <v>1</v>
      </c>
      <c r="J5" t="s">
        <v>485</v>
      </c>
      <c r="K5" s="1">
        <v>1</v>
      </c>
      <c r="M5" t="s">
        <v>485</v>
      </c>
      <c r="N5" s="1">
        <v>1</v>
      </c>
      <c r="P5" t="s">
        <v>485</v>
      </c>
      <c r="Q5" s="1">
        <v>1</v>
      </c>
      <c r="S5" t="s">
        <v>485</v>
      </c>
      <c r="T5" s="1">
        <v>1</v>
      </c>
      <c r="V5" t="s">
        <v>458</v>
      </c>
      <c r="W5" s="1">
        <v>1</v>
      </c>
      <c r="X5" t="s">
        <v>459</v>
      </c>
      <c r="Y5" t="s">
        <v>458</v>
      </c>
      <c r="Z5" s="1">
        <v>1</v>
      </c>
      <c r="AA5" t="s">
        <v>459</v>
      </c>
      <c r="AB5" t="s">
        <v>458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t="s">
        <v>459</v>
      </c>
      <c r="AI5" t="s">
        <v>458</v>
      </c>
      <c r="AJ5" s="1">
        <v>1</v>
      </c>
      <c r="AK5" t="s">
        <v>459</v>
      </c>
      <c r="AL5" t="s">
        <v>458</v>
      </c>
      <c r="AM5" s="1">
        <v>1</v>
      </c>
      <c r="AN5" t="s">
        <v>459</v>
      </c>
      <c r="AO5" t="s">
        <v>458</v>
      </c>
      <c r="AP5" s="1">
        <v>1</v>
      </c>
      <c r="AQ5" t="s">
        <v>459</v>
      </c>
      <c r="AR5" t="s">
        <v>458</v>
      </c>
      <c r="AS5" s="1">
        <v>1</v>
      </c>
      <c r="AT5" t="s">
        <v>459</v>
      </c>
      <c r="AU5" t="s">
        <v>458</v>
      </c>
      <c r="AV5" s="1">
        <v>1</v>
      </c>
      <c r="AW5" t="s">
        <v>459</v>
      </c>
      <c r="AX5" t="s">
        <v>458</v>
      </c>
      <c r="AY5" s="1">
        <v>1</v>
      </c>
      <c r="AZ5" t="s">
        <v>459</v>
      </c>
      <c r="BA5" t="s">
        <v>458</v>
      </c>
      <c r="BB5" s="1">
        <v>1</v>
      </c>
      <c r="BC5" t="s">
        <v>459</v>
      </c>
      <c r="BD5" t="s">
        <v>458</v>
      </c>
      <c r="BE5" s="1">
        <v>1</v>
      </c>
      <c r="BF5" t="s">
        <v>459</v>
      </c>
      <c r="BG5" t="s">
        <v>458</v>
      </c>
      <c r="BH5" s="1">
        <v>1</v>
      </c>
      <c r="BI5" t="s">
        <v>459</v>
      </c>
      <c r="BJ5" t="s">
        <v>458</v>
      </c>
      <c r="BK5" s="1">
        <v>1</v>
      </c>
      <c r="BL5" t="s">
        <v>459</v>
      </c>
      <c r="BM5" t="s">
        <v>458</v>
      </c>
      <c r="BN5" s="1">
        <v>1</v>
      </c>
      <c r="BO5" t="s">
        <v>459</v>
      </c>
      <c r="BP5" t="s">
        <v>458</v>
      </c>
      <c r="BQ5" s="1">
        <v>1</v>
      </c>
      <c r="BR5" t="s">
        <v>459</v>
      </c>
      <c r="BS5" t="s">
        <v>458</v>
      </c>
      <c r="BT5" s="1">
        <v>1</v>
      </c>
      <c r="BU5" t="s">
        <v>459</v>
      </c>
      <c r="BV5" t="s">
        <v>458</v>
      </c>
      <c r="BW5" s="1">
        <v>1</v>
      </c>
      <c r="BX5" t="s">
        <v>459</v>
      </c>
      <c r="BY5" t="s">
        <v>458</v>
      </c>
      <c r="BZ5" s="1">
        <v>1</v>
      </c>
      <c r="CA5" t="s">
        <v>459</v>
      </c>
      <c r="CB5" t="s">
        <v>458</v>
      </c>
      <c r="CC5" s="1">
        <v>1</v>
      </c>
      <c r="CD5" t="s">
        <v>459</v>
      </c>
      <c r="CE5" t="s">
        <v>458</v>
      </c>
      <c r="CF5" s="1">
        <v>1</v>
      </c>
      <c r="CG5" t="s">
        <v>459</v>
      </c>
      <c r="CH5" t="s">
        <v>458</v>
      </c>
      <c r="CI5" s="1">
        <v>1</v>
      </c>
      <c r="CJ5" t="s">
        <v>459</v>
      </c>
      <c r="CK5" t="s">
        <v>458</v>
      </c>
      <c r="CL5" s="1">
        <v>1</v>
      </c>
      <c r="CM5" t="s">
        <v>459</v>
      </c>
      <c r="CN5" t="s">
        <v>395</v>
      </c>
      <c r="CO5" s="1">
        <f>B29</f>
        <v>0</v>
      </c>
      <c r="CQ5" t="s">
        <v>395</v>
      </c>
      <c r="CR5">
        <f>CO5</f>
        <v>0</v>
      </c>
      <c r="CT5" t="s">
        <v>458</v>
      </c>
      <c r="CU5" s="1">
        <v>1</v>
      </c>
      <c r="CV5" t="s">
        <v>459</v>
      </c>
      <c r="CW5" t="s">
        <v>458</v>
      </c>
      <c r="CX5" s="1">
        <v>1</v>
      </c>
      <c r="CY5" t="s">
        <v>459</v>
      </c>
      <c r="CZ5" t="s">
        <v>458</v>
      </c>
      <c r="DA5" s="1">
        <v>1</v>
      </c>
      <c r="DB5" t="s">
        <v>459</v>
      </c>
      <c r="DC5" t="s">
        <v>458</v>
      </c>
      <c r="DD5" s="1">
        <v>1</v>
      </c>
      <c r="DE5" t="s">
        <v>459</v>
      </c>
      <c r="DF5" t="s">
        <v>44</v>
      </c>
      <c r="DG5">
        <f>(DG8*DG9*DG10*((1-EXP(-DG11*DG12))))/(DG13*DG11)</f>
        <v>3.5526527193007473E-2</v>
      </c>
      <c r="DH5" t="s">
        <v>45</v>
      </c>
      <c r="DI5" t="s">
        <v>46</v>
      </c>
      <c r="DJ5">
        <f>DJ7</f>
        <v>1E-3</v>
      </c>
      <c r="DL5" t="s">
        <v>46</v>
      </c>
      <c r="DM5">
        <f>DM7</f>
        <v>1E-3</v>
      </c>
      <c r="DO5" t="s">
        <v>44</v>
      </c>
      <c r="DP5">
        <f>(DP8*DP9*DP10*((1-EXP(-DP11*DP12))))/(DP13*DP11)</f>
        <v>3.5746410762351036E-2</v>
      </c>
      <c r="DQ5" t="s">
        <v>45</v>
      </c>
      <c r="DR5" t="s">
        <v>458</v>
      </c>
      <c r="DS5" s="1">
        <v>1</v>
      </c>
      <c r="DT5" t="s">
        <v>459</v>
      </c>
      <c r="DU5" t="s">
        <v>317</v>
      </c>
      <c r="DV5" s="1">
        <f>B23</f>
        <v>1E-3</v>
      </c>
      <c r="DX5" t="s">
        <v>47</v>
      </c>
      <c r="DY5">
        <f>DY7</f>
        <v>0</v>
      </c>
      <c r="EA5" t="s">
        <v>47</v>
      </c>
      <c r="EB5">
        <f>EB7</f>
        <v>0</v>
      </c>
      <c r="ED5" t="s">
        <v>47</v>
      </c>
      <c r="EE5">
        <f>EE7</f>
        <v>0</v>
      </c>
      <c r="EG5" t="s">
        <v>458</v>
      </c>
      <c r="EH5" s="1">
        <v>1</v>
      </c>
      <c r="EI5" t="s">
        <v>459</v>
      </c>
      <c r="EJ5" t="s">
        <v>318</v>
      </c>
      <c r="EK5" s="1">
        <f>B24</f>
        <v>1E-3</v>
      </c>
      <c r="EM5" t="s">
        <v>47</v>
      </c>
      <c r="EN5">
        <f>EN7</f>
        <v>0</v>
      </c>
      <c r="EP5" t="s">
        <v>47</v>
      </c>
      <c r="EQ5">
        <f>EQ7</f>
        <v>0</v>
      </c>
      <c r="ES5" t="s">
        <v>47</v>
      </c>
      <c r="ET5">
        <f>ET7</f>
        <v>0</v>
      </c>
      <c r="EV5" t="s">
        <v>458</v>
      </c>
      <c r="EW5" s="1">
        <v>1</v>
      </c>
      <c r="EX5" t="s">
        <v>459</v>
      </c>
      <c r="EY5" t="s">
        <v>319</v>
      </c>
      <c r="EZ5" s="406">
        <f>B26</f>
        <v>0</v>
      </c>
      <c r="FB5" t="s">
        <v>47</v>
      </c>
      <c r="FC5">
        <f>FC7</f>
        <v>5.0000000000000001E-3</v>
      </c>
      <c r="FE5" t="s">
        <v>47</v>
      </c>
      <c r="FF5">
        <f>FF7</f>
        <v>5.0000000000000001E-3</v>
      </c>
      <c r="FH5" t="s">
        <v>47</v>
      </c>
      <c r="FI5">
        <f>FI7</f>
        <v>5.0000000000000001E-3</v>
      </c>
      <c r="FK5" t="s">
        <v>458</v>
      </c>
      <c r="FL5" s="1">
        <v>1</v>
      </c>
      <c r="FM5" t="s">
        <v>459</v>
      </c>
      <c r="FN5" t="s">
        <v>320</v>
      </c>
      <c r="FO5" s="17">
        <v>1</v>
      </c>
      <c r="FQ5" t="s">
        <v>186</v>
      </c>
      <c r="FR5" s="1">
        <f>B22</f>
        <v>50</v>
      </c>
      <c r="FT5" t="s">
        <v>47</v>
      </c>
      <c r="FU5">
        <f>FU7</f>
        <v>0.2</v>
      </c>
      <c r="FW5" t="s">
        <v>47</v>
      </c>
      <c r="FX5">
        <f>FX7</f>
        <v>0.2</v>
      </c>
      <c r="FZ5" t="s">
        <v>458</v>
      </c>
      <c r="GA5" s="1">
        <v>1</v>
      </c>
      <c r="GB5" t="s">
        <v>459</v>
      </c>
      <c r="GC5" t="s">
        <v>321</v>
      </c>
      <c r="GD5" s="406">
        <f>B25</f>
        <v>0</v>
      </c>
      <c r="GF5" t="s">
        <v>47</v>
      </c>
      <c r="GG5">
        <f>GG7</f>
        <v>5.0000000000000001E-3</v>
      </c>
      <c r="GI5" t="s">
        <v>47</v>
      </c>
      <c r="GJ5">
        <f>GJ7</f>
        <v>5.0000000000000001E-3</v>
      </c>
      <c r="GL5" t="s">
        <v>47</v>
      </c>
      <c r="GM5">
        <f>GM7</f>
        <v>5.0000000000000001E-3</v>
      </c>
      <c r="GO5" t="s">
        <v>458</v>
      </c>
      <c r="GP5" s="1">
        <v>1</v>
      </c>
      <c r="GQ5" t="s">
        <v>459</v>
      </c>
      <c r="GR5" t="s">
        <v>322</v>
      </c>
      <c r="GS5" s="406">
        <f>B27</f>
        <v>0</v>
      </c>
      <c r="GU5" t="s">
        <v>47</v>
      </c>
      <c r="GV5">
        <f>GV7</f>
        <v>5.0000000000000001E-3</v>
      </c>
      <c r="GX5" t="s">
        <v>47</v>
      </c>
      <c r="GY5">
        <f>GY7</f>
        <v>5.0000000000000001E-3</v>
      </c>
      <c r="HA5" t="s">
        <v>47</v>
      </c>
      <c r="HB5">
        <f>HB7</f>
        <v>5.0000000000000001E-3</v>
      </c>
      <c r="HD5" s="2" t="s">
        <v>48</v>
      </c>
      <c r="HE5">
        <v>15</v>
      </c>
      <c r="HF5" t="s">
        <v>24</v>
      </c>
    </row>
    <row r="6" spans="1:214" x14ac:dyDescent="0.2">
      <c r="A6" t="s">
        <v>437</v>
      </c>
      <c r="B6" s="410">
        <v>1.0399999999999999E-3</v>
      </c>
      <c r="C6" t="s">
        <v>448</v>
      </c>
      <c r="D6" t="s">
        <v>49</v>
      </c>
      <c r="E6" s="1">
        <f>0.693/E7</f>
        <v>6.3E-5</v>
      </c>
      <c r="G6" t="s">
        <v>437</v>
      </c>
      <c r="H6" s="1">
        <f>B6</f>
        <v>1.0399999999999999E-3</v>
      </c>
      <c r="I6" t="s">
        <v>61</v>
      </c>
      <c r="J6" t="s">
        <v>438</v>
      </c>
      <c r="K6" s="1">
        <f>B7</f>
        <v>1.0399999999999999E-3</v>
      </c>
      <c r="L6" t="s">
        <v>61</v>
      </c>
      <c r="M6" t="s">
        <v>58</v>
      </c>
      <c r="N6">
        <v>26</v>
      </c>
      <c r="O6" t="s">
        <v>59</v>
      </c>
      <c r="P6" t="s">
        <v>58</v>
      </c>
      <c r="Q6">
        <v>26</v>
      </c>
      <c r="R6" t="s">
        <v>59</v>
      </c>
      <c r="S6" t="s">
        <v>58</v>
      </c>
      <c r="T6">
        <v>26</v>
      </c>
      <c r="U6" t="s">
        <v>59</v>
      </c>
      <c r="V6" t="s">
        <v>49</v>
      </c>
      <c r="W6" s="1">
        <f>0.693/W7</f>
        <v>4.3312499999999997E-4</v>
      </c>
      <c r="Y6" t="s">
        <v>49</v>
      </c>
      <c r="Z6" s="1">
        <f>0.693/Z7</f>
        <v>4.3312499999999997E-4</v>
      </c>
      <c r="AC6">
        <v>1000</v>
      </c>
      <c r="AD6">
        <v>1000</v>
      </c>
      <c r="AE6">
        <v>1000</v>
      </c>
      <c r="AF6">
        <v>1000</v>
      </c>
      <c r="AG6">
        <v>1000</v>
      </c>
      <c r="AH6" t="s">
        <v>50</v>
      </c>
      <c r="AI6" t="s">
        <v>58</v>
      </c>
      <c r="AJ6">
        <v>25</v>
      </c>
      <c r="AK6" t="s">
        <v>59</v>
      </c>
      <c r="AL6" t="s">
        <v>58</v>
      </c>
      <c r="AM6">
        <v>25</v>
      </c>
      <c r="AN6" t="s">
        <v>59</v>
      </c>
      <c r="AO6" t="s">
        <v>58</v>
      </c>
      <c r="AP6">
        <v>25</v>
      </c>
      <c r="AQ6" t="s">
        <v>59</v>
      </c>
      <c r="AR6" t="s">
        <v>58</v>
      </c>
      <c r="AS6">
        <v>25</v>
      </c>
      <c r="AT6" t="s">
        <v>59</v>
      </c>
      <c r="AU6" t="s">
        <v>58</v>
      </c>
      <c r="AV6">
        <v>25</v>
      </c>
      <c r="AW6" t="s">
        <v>59</v>
      </c>
      <c r="AX6" t="s">
        <v>58</v>
      </c>
      <c r="AY6">
        <v>25</v>
      </c>
      <c r="AZ6" t="s">
        <v>59</v>
      </c>
      <c r="BA6" t="s">
        <v>58</v>
      </c>
      <c r="BB6">
        <v>25</v>
      </c>
      <c r="BC6" t="s">
        <v>59</v>
      </c>
      <c r="BD6" t="s">
        <v>58</v>
      </c>
      <c r="BE6">
        <v>25</v>
      </c>
      <c r="BF6" t="s">
        <v>59</v>
      </c>
      <c r="BG6" t="s">
        <v>58</v>
      </c>
      <c r="BH6">
        <v>25</v>
      </c>
      <c r="BI6" t="s">
        <v>59</v>
      </c>
      <c r="BJ6" t="s">
        <v>58</v>
      </c>
      <c r="BK6">
        <v>1</v>
      </c>
      <c r="BL6" t="s">
        <v>59</v>
      </c>
      <c r="BM6" t="s">
        <v>58</v>
      </c>
      <c r="BN6">
        <v>1</v>
      </c>
      <c r="BO6" t="s">
        <v>59</v>
      </c>
      <c r="BP6" t="s">
        <v>58</v>
      </c>
      <c r="BQ6">
        <v>1</v>
      </c>
      <c r="BR6" t="s">
        <v>59</v>
      </c>
      <c r="BS6" t="s">
        <v>49</v>
      </c>
      <c r="BT6" s="1">
        <f>0.693/BT7</f>
        <v>4.3312499999999997E-4</v>
      </c>
      <c r="BV6" t="s">
        <v>437</v>
      </c>
      <c r="BW6" s="1">
        <f>H6</f>
        <v>1.0399999999999999E-3</v>
      </c>
      <c r="BX6" t="s">
        <v>448</v>
      </c>
      <c r="BY6" t="s">
        <v>438</v>
      </c>
      <c r="BZ6" s="1">
        <f>B7</f>
        <v>1.0399999999999999E-3</v>
      </c>
      <c r="CA6" t="s">
        <v>448</v>
      </c>
      <c r="CB6" t="s">
        <v>58</v>
      </c>
      <c r="CC6">
        <v>26</v>
      </c>
      <c r="CD6" t="s">
        <v>59</v>
      </c>
      <c r="CE6" t="s">
        <v>58</v>
      </c>
      <c r="CF6">
        <v>26</v>
      </c>
      <c r="CG6" t="s">
        <v>59</v>
      </c>
      <c r="CH6" t="s">
        <v>58</v>
      </c>
      <c r="CI6">
        <v>26</v>
      </c>
      <c r="CJ6" t="s">
        <v>59</v>
      </c>
      <c r="CK6" t="s">
        <v>447</v>
      </c>
      <c r="CL6" s="1">
        <f>E35</f>
        <v>1.0399999999999999E-3</v>
      </c>
      <c r="CM6" t="s">
        <v>22</v>
      </c>
      <c r="CN6" t="s">
        <v>47</v>
      </c>
      <c r="CO6">
        <f>CO8</f>
        <v>0.2</v>
      </c>
      <c r="CQ6" t="s">
        <v>315</v>
      </c>
      <c r="CR6" s="17">
        <v>1</v>
      </c>
      <c r="CS6" t="s">
        <v>56</v>
      </c>
      <c r="CT6" t="s">
        <v>438</v>
      </c>
      <c r="CU6" s="1">
        <f>B7</f>
        <v>1.0399999999999999E-3</v>
      </c>
      <c r="CV6" t="s">
        <v>448</v>
      </c>
      <c r="CW6" t="s">
        <v>49</v>
      </c>
      <c r="CX6" s="1">
        <f>0.693/CX7</f>
        <v>4.3312499999999997E-4</v>
      </c>
      <c r="CZ6" t="s">
        <v>437</v>
      </c>
      <c r="DA6" s="1">
        <f>B6</f>
        <v>1.0399999999999999E-3</v>
      </c>
      <c r="DB6" t="s">
        <v>448</v>
      </c>
      <c r="DC6" t="s">
        <v>447</v>
      </c>
      <c r="DD6" s="1">
        <f>B16</f>
        <v>1.0399999999999999E-3</v>
      </c>
      <c r="DE6" t="s">
        <v>448</v>
      </c>
      <c r="DF6" t="s">
        <v>53</v>
      </c>
      <c r="DG6">
        <f>(DG8*DG9*DG14*((1-EXP(-DG11*DG12))))/(DG13*DG11)</f>
        <v>9.2368970701819411</v>
      </c>
      <c r="DH6" t="s">
        <v>45</v>
      </c>
      <c r="DI6" t="s">
        <v>54</v>
      </c>
      <c r="DJ6">
        <f>DJ8</f>
        <v>0.26</v>
      </c>
      <c r="DL6" t="s">
        <v>54</v>
      </c>
      <c r="DM6">
        <f>DM8</f>
        <v>0.26</v>
      </c>
      <c r="DO6" t="s">
        <v>53</v>
      </c>
      <c r="DP6">
        <f>(DP8*DP9*DP14*((1-EXP(-DP11*DP12))))/(DP13*DP11)</f>
        <v>9.2940667982112686</v>
      </c>
      <c r="DQ6" t="s">
        <v>45</v>
      </c>
      <c r="DR6" t="s">
        <v>447</v>
      </c>
      <c r="DS6" s="1">
        <f>B16</f>
        <v>1.0399999999999999E-3</v>
      </c>
      <c r="DT6" t="s">
        <v>448</v>
      </c>
      <c r="DU6" t="s">
        <v>55</v>
      </c>
      <c r="DV6">
        <v>92</v>
      </c>
      <c r="DW6" t="s">
        <v>56</v>
      </c>
      <c r="DX6" t="s">
        <v>54</v>
      </c>
      <c r="DY6">
        <f>DY8</f>
        <v>0.25</v>
      </c>
      <c r="EA6" t="s">
        <v>54</v>
      </c>
      <c r="EB6">
        <f>EB8</f>
        <v>0.25</v>
      </c>
      <c r="ED6" t="s">
        <v>54</v>
      </c>
      <c r="EE6">
        <f>EE8</f>
        <v>0.25</v>
      </c>
      <c r="EG6" t="s">
        <v>447</v>
      </c>
      <c r="EH6" s="1">
        <f>B16</f>
        <v>1.0399999999999999E-3</v>
      </c>
      <c r="EI6" t="s">
        <v>448</v>
      </c>
      <c r="EJ6" t="s">
        <v>57</v>
      </c>
      <c r="EK6">
        <v>53</v>
      </c>
      <c r="EL6" t="s">
        <v>56</v>
      </c>
      <c r="EM6" t="s">
        <v>54</v>
      </c>
      <c r="EN6">
        <f>EN8</f>
        <v>0.25</v>
      </c>
      <c r="EP6" t="s">
        <v>54</v>
      </c>
      <c r="EQ6">
        <f>EQ8</f>
        <v>0.25</v>
      </c>
      <c r="ES6" t="s">
        <v>54</v>
      </c>
      <c r="ET6">
        <f>ET8</f>
        <v>0.25</v>
      </c>
      <c r="EV6" t="s">
        <v>447</v>
      </c>
      <c r="EW6" s="1">
        <f>B16</f>
        <v>1.0399999999999999E-3</v>
      </c>
      <c r="EX6" t="s">
        <v>448</v>
      </c>
      <c r="EY6" t="s">
        <v>271</v>
      </c>
      <c r="EZ6">
        <v>0.4</v>
      </c>
      <c r="FA6" t="s">
        <v>56</v>
      </c>
      <c r="FB6" t="s">
        <v>54</v>
      </c>
      <c r="FC6">
        <f>FC8</f>
        <v>0.25</v>
      </c>
      <c r="FE6" t="s">
        <v>54</v>
      </c>
      <c r="FF6">
        <f>FF8</f>
        <v>0.25</v>
      </c>
      <c r="FH6" t="s">
        <v>54</v>
      </c>
      <c r="FI6">
        <f>FI8</f>
        <v>0.25</v>
      </c>
      <c r="FK6" t="s">
        <v>447</v>
      </c>
      <c r="FL6" s="1">
        <f>B16</f>
        <v>1.0399999999999999E-3</v>
      </c>
      <c r="FM6" t="s">
        <v>448</v>
      </c>
      <c r="FN6" t="s">
        <v>274</v>
      </c>
      <c r="FO6" s="17">
        <v>1</v>
      </c>
      <c r="FP6" t="s">
        <v>56</v>
      </c>
      <c r="FQ6" t="s">
        <v>296</v>
      </c>
      <c r="FR6" s="1">
        <v>8.1999999999999993</v>
      </c>
      <c r="FT6" t="s">
        <v>54</v>
      </c>
      <c r="FU6">
        <f>FU8</f>
        <v>0.25</v>
      </c>
      <c r="FW6" t="s">
        <v>54</v>
      </c>
      <c r="FX6">
        <f>FX8</f>
        <v>0.25</v>
      </c>
      <c r="FZ6" t="s">
        <v>447</v>
      </c>
      <c r="GA6" s="1">
        <f>B16</f>
        <v>1.0399999999999999E-3</v>
      </c>
      <c r="GB6" t="s">
        <v>448</v>
      </c>
      <c r="GC6" t="s">
        <v>272</v>
      </c>
      <c r="GD6">
        <v>0.4</v>
      </c>
      <c r="GE6" t="s">
        <v>56</v>
      </c>
      <c r="GF6" t="s">
        <v>54</v>
      </c>
      <c r="GG6">
        <f>GG8</f>
        <v>0.25</v>
      </c>
      <c r="GI6" t="s">
        <v>54</v>
      </c>
      <c r="GJ6">
        <f>GJ8</f>
        <v>0.25</v>
      </c>
      <c r="GL6" t="s">
        <v>54</v>
      </c>
      <c r="GM6">
        <f>GM8</f>
        <v>0.25</v>
      </c>
      <c r="GO6" t="s">
        <v>447</v>
      </c>
      <c r="GP6" s="1">
        <f>B16</f>
        <v>1.0399999999999999E-3</v>
      </c>
      <c r="GQ6" t="s">
        <v>448</v>
      </c>
      <c r="GR6" t="s">
        <v>273</v>
      </c>
      <c r="GS6">
        <v>11.4</v>
      </c>
      <c r="GT6" t="s">
        <v>56</v>
      </c>
      <c r="GU6" t="s">
        <v>54</v>
      </c>
      <c r="GV6">
        <f>GV8</f>
        <v>0.25</v>
      </c>
      <c r="GX6" t="s">
        <v>54</v>
      </c>
      <c r="GY6">
        <f>GY8</f>
        <v>0.25</v>
      </c>
      <c r="HA6" t="s">
        <v>54</v>
      </c>
      <c r="HB6">
        <f>HB8</f>
        <v>0.25</v>
      </c>
      <c r="HD6" t="s">
        <v>456</v>
      </c>
      <c r="HE6" s="1" t="e">
        <f>H3</f>
        <v>#DIV/0!</v>
      </c>
      <c r="HF6" t="s">
        <v>24</v>
      </c>
    </row>
    <row r="7" spans="1:214" x14ac:dyDescent="0.2">
      <c r="A7" t="s">
        <v>438</v>
      </c>
      <c r="B7" s="410">
        <v>1.0399999999999999E-3</v>
      </c>
      <c r="C7" t="s">
        <v>448</v>
      </c>
      <c r="D7" t="s">
        <v>411</v>
      </c>
      <c r="E7" s="1">
        <v>11000</v>
      </c>
      <c r="F7" t="s">
        <v>119</v>
      </c>
      <c r="G7" t="s">
        <v>436</v>
      </c>
      <c r="H7" s="1">
        <f>B5</f>
        <v>1.2999999999999999E-2</v>
      </c>
      <c r="I7" t="s">
        <v>61</v>
      </c>
      <c r="J7" t="s">
        <v>436</v>
      </c>
      <c r="K7" s="1">
        <f>B5</f>
        <v>1.2999999999999999E-2</v>
      </c>
      <c r="L7" t="s">
        <v>61</v>
      </c>
      <c r="M7" t="s">
        <v>49</v>
      </c>
      <c r="N7" s="1">
        <f>0.693/N8</f>
        <v>4.3312499999999997E-4</v>
      </c>
      <c r="P7" t="s">
        <v>49</v>
      </c>
      <c r="Q7" s="1">
        <f>0.693/Q8</f>
        <v>4.3312499999999997E-4</v>
      </c>
      <c r="S7" t="s">
        <v>49</v>
      </c>
      <c r="T7" s="1">
        <f>0.693/T8</f>
        <v>4.3312499999999997E-4</v>
      </c>
      <c r="V7" t="s">
        <v>411</v>
      </c>
      <c r="W7" s="1">
        <f>B17</f>
        <v>1600</v>
      </c>
      <c r="X7" t="s">
        <v>119</v>
      </c>
      <c r="Y7" t="s">
        <v>411</v>
      </c>
      <c r="Z7" s="1">
        <f>B17</f>
        <v>1600</v>
      </c>
      <c r="AA7" t="s">
        <v>119</v>
      </c>
      <c r="AI7" t="s">
        <v>49</v>
      </c>
      <c r="AJ7" s="1">
        <f>0.693/AJ8</f>
        <v>4.3312499999999997E-4</v>
      </c>
      <c r="AL7" t="s">
        <v>49</v>
      </c>
      <c r="AM7" s="1">
        <f>0.693/AM8</f>
        <v>4.3312499999999997E-4</v>
      </c>
      <c r="AO7" t="s">
        <v>49</v>
      </c>
      <c r="AP7" s="1">
        <f>0.693/AP8</f>
        <v>4.3312499999999997E-4</v>
      </c>
      <c r="AR7" t="s">
        <v>49</v>
      </c>
      <c r="AS7" s="1">
        <f>0.693/AS8</f>
        <v>4.3312499999999997E-4</v>
      </c>
      <c r="AU7" t="s">
        <v>49</v>
      </c>
      <c r="AV7" s="1">
        <f>0.693/AV8</f>
        <v>4.3312499999999997E-4</v>
      </c>
      <c r="AX7" t="s">
        <v>49</v>
      </c>
      <c r="AY7" s="1">
        <f>0.693/AY8</f>
        <v>4.3312499999999997E-4</v>
      </c>
      <c r="BA7" t="s">
        <v>49</v>
      </c>
      <c r="BB7" s="1">
        <f>0.693/BB8</f>
        <v>4.3312499999999997E-4</v>
      </c>
      <c r="BD7" t="s">
        <v>49</v>
      </c>
      <c r="BE7" s="1">
        <f>0.693/BE8</f>
        <v>4.3312499999999997E-4</v>
      </c>
      <c r="BG7" t="s">
        <v>49</v>
      </c>
      <c r="BH7" s="1">
        <f>0.693/BH8</f>
        <v>4.3312499999999997E-4</v>
      </c>
      <c r="BJ7" t="s">
        <v>49</v>
      </c>
      <c r="BK7" s="1">
        <f>0.693/BK8</f>
        <v>4.3312499999999997E-4</v>
      </c>
      <c r="BM7" t="s">
        <v>49</v>
      </c>
      <c r="BN7" s="1">
        <f>0.693/BN8</f>
        <v>4.3312499999999997E-4</v>
      </c>
      <c r="BP7" t="s">
        <v>49</v>
      </c>
      <c r="BQ7" s="1">
        <f>0.693/BQ8</f>
        <v>4.3312499999999997E-4</v>
      </c>
      <c r="BS7" t="s">
        <v>411</v>
      </c>
      <c r="BT7" s="1">
        <f>B17</f>
        <v>1600</v>
      </c>
      <c r="BU7" t="s">
        <v>119</v>
      </c>
      <c r="BV7" t="s">
        <v>436</v>
      </c>
      <c r="BW7" s="1">
        <f>E10</f>
        <v>1.2999999999999999E-2</v>
      </c>
      <c r="BX7" t="s">
        <v>448</v>
      </c>
      <c r="BY7" t="s">
        <v>436</v>
      </c>
      <c r="BZ7" s="1">
        <f>B5</f>
        <v>1.2999999999999999E-2</v>
      </c>
      <c r="CA7" t="s">
        <v>448</v>
      </c>
      <c r="CB7" t="s">
        <v>49</v>
      </c>
      <c r="CC7" s="1">
        <f>0.693/CC8</f>
        <v>4.3312499999999997E-4</v>
      </c>
      <c r="CE7" t="s">
        <v>49</v>
      </c>
      <c r="CF7" s="1">
        <f>0.693/CF8</f>
        <v>4.3312499999999997E-4</v>
      </c>
      <c r="CH7" t="s">
        <v>49</v>
      </c>
      <c r="CI7" s="1">
        <f>0.693/CI8</f>
        <v>4.3312499999999997E-4</v>
      </c>
      <c r="CK7" t="s">
        <v>221</v>
      </c>
      <c r="CL7">
        <v>75</v>
      </c>
      <c r="CM7" t="s">
        <v>245</v>
      </c>
      <c r="CN7" t="s">
        <v>54</v>
      </c>
      <c r="CO7">
        <f>CO9</f>
        <v>0.25</v>
      </c>
      <c r="CR7">
        <v>1000</v>
      </c>
      <c r="CS7" t="s">
        <v>213</v>
      </c>
      <c r="CT7" t="s">
        <v>436</v>
      </c>
      <c r="CU7" s="1">
        <f>B5</f>
        <v>1.2999999999999999E-2</v>
      </c>
      <c r="CV7" t="s">
        <v>448</v>
      </c>
      <c r="CW7" t="s">
        <v>411</v>
      </c>
      <c r="CX7" s="1">
        <f>B17</f>
        <v>1600</v>
      </c>
      <c r="CY7" t="s">
        <v>119</v>
      </c>
      <c r="CZ7" t="s">
        <v>436</v>
      </c>
      <c r="DA7" s="1">
        <f>B5</f>
        <v>1.2999999999999999E-2</v>
      </c>
      <c r="DB7" t="s">
        <v>448</v>
      </c>
      <c r="DC7" t="s">
        <v>451</v>
      </c>
      <c r="DD7" s="16">
        <f>(DD5)/(DD6*(DD8+DD11)*DD21)</f>
        <v>3.6255397522306138E-2</v>
      </c>
      <c r="DE7" t="s">
        <v>22</v>
      </c>
      <c r="DF7" t="s">
        <v>62</v>
      </c>
      <c r="DG7">
        <f>(DG8*DG9*DG15*DG21*((1-EXP(-DG16*DG17))))/(DG18*DG16)</f>
        <v>3.6423470278489711</v>
      </c>
      <c r="DH7" t="s">
        <v>45</v>
      </c>
      <c r="DI7" t="s">
        <v>63</v>
      </c>
      <c r="DJ7">
        <f>B28</f>
        <v>1E-3</v>
      </c>
      <c r="DL7" t="s">
        <v>63</v>
      </c>
      <c r="DM7">
        <f>B28</f>
        <v>1E-3</v>
      </c>
      <c r="DO7" t="s">
        <v>62</v>
      </c>
      <c r="DP7">
        <f>(DP8*DP9*DP15*DP21*((1-EXP(-DP16*DP17))))/(DP18*DP16)</f>
        <v>3.6424203206347228</v>
      </c>
      <c r="DQ7" t="s">
        <v>45</v>
      </c>
      <c r="DR7" t="s">
        <v>451</v>
      </c>
      <c r="DS7" s="16">
        <f>DS5/(DS6*DS8*DS17)</f>
        <v>4.8957546952735414E-3</v>
      </c>
      <c r="DT7" t="s">
        <v>22</v>
      </c>
      <c r="DX7" t="s">
        <v>64</v>
      </c>
      <c r="DY7">
        <f>B29</f>
        <v>0</v>
      </c>
      <c r="EA7" t="s">
        <v>64</v>
      </c>
      <c r="EB7">
        <f>B29</f>
        <v>0</v>
      </c>
      <c r="ED7" t="s">
        <v>64</v>
      </c>
      <c r="EE7">
        <f>B29</f>
        <v>0</v>
      </c>
      <c r="EG7" t="s">
        <v>451</v>
      </c>
      <c r="EH7" s="16">
        <f>EH5/(EH6*EH8*EH17)</f>
        <v>2.3118092282357412E-2</v>
      </c>
      <c r="EI7" t="s">
        <v>22</v>
      </c>
      <c r="EM7" t="s">
        <v>64</v>
      </c>
      <c r="EN7">
        <f>B29</f>
        <v>0</v>
      </c>
      <c r="EP7" t="s">
        <v>64</v>
      </c>
      <c r="EQ7">
        <f>B29</f>
        <v>0</v>
      </c>
      <c r="ES7" t="s">
        <v>64</v>
      </c>
      <c r="ET7">
        <f>B29</f>
        <v>0</v>
      </c>
      <c r="EV7" t="s">
        <v>451</v>
      </c>
      <c r="EW7" s="16">
        <f>EW5/(EW6*EW8*EW17)</f>
        <v>7.7075115507090911E-2</v>
      </c>
      <c r="EX7" t="s">
        <v>22</v>
      </c>
      <c r="EZ7">
        <v>1000</v>
      </c>
      <c r="FA7" t="s">
        <v>213</v>
      </c>
      <c r="FB7" t="s">
        <v>64</v>
      </c>
      <c r="FC7">
        <v>5.0000000000000001E-3</v>
      </c>
      <c r="FE7" t="s">
        <v>64</v>
      </c>
      <c r="FF7">
        <v>5.0000000000000001E-3</v>
      </c>
      <c r="FH7" t="s">
        <v>64</v>
      </c>
      <c r="FI7">
        <v>5.0000000000000001E-3</v>
      </c>
      <c r="FK7" t="s">
        <v>451</v>
      </c>
      <c r="FL7" s="16">
        <f>FL5/(FL6*FL8*FL17)</f>
        <v>2.5137810296998069E-2</v>
      </c>
      <c r="FM7" t="s">
        <v>22</v>
      </c>
      <c r="FO7">
        <v>1000</v>
      </c>
      <c r="FP7" t="s">
        <v>213</v>
      </c>
      <c r="FT7" t="s">
        <v>64</v>
      </c>
      <c r="FU7">
        <v>0.2</v>
      </c>
      <c r="FW7" t="s">
        <v>64</v>
      </c>
      <c r="FX7">
        <v>0.2</v>
      </c>
      <c r="FZ7" t="s">
        <v>451</v>
      </c>
      <c r="GA7" s="16">
        <f>GA5/(GA6*GA8*GA17)</f>
        <v>3.2159950376756029E-2</v>
      </c>
      <c r="GB7" t="s">
        <v>22</v>
      </c>
      <c r="GD7">
        <v>1000</v>
      </c>
      <c r="GE7" t="s">
        <v>213</v>
      </c>
      <c r="GF7" t="s">
        <v>64</v>
      </c>
      <c r="GG7">
        <v>5.0000000000000001E-3</v>
      </c>
      <c r="GI7" t="s">
        <v>64</v>
      </c>
      <c r="GJ7">
        <v>5.0000000000000001E-3</v>
      </c>
      <c r="GL7" t="s">
        <v>64</v>
      </c>
      <c r="GM7">
        <v>5.0000000000000001E-3</v>
      </c>
      <c r="GO7" t="s">
        <v>451</v>
      </c>
      <c r="GP7" s="16">
        <f>GP5/(GP6*GP8*GP16)</f>
        <v>4.14016206749485E-2</v>
      </c>
      <c r="GQ7" t="s">
        <v>22</v>
      </c>
      <c r="GS7">
        <v>1000</v>
      </c>
      <c r="GT7" t="s">
        <v>213</v>
      </c>
      <c r="GU7" t="s">
        <v>64</v>
      </c>
      <c r="GV7">
        <v>5.0000000000000001E-3</v>
      </c>
      <c r="GX7" t="s">
        <v>64</v>
      </c>
      <c r="GY7">
        <v>5.0000000000000001E-3</v>
      </c>
      <c r="HA7" t="s">
        <v>64</v>
      </c>
      <c r="HB7">
        <v>5.0000000000000001E-3</v>
      </c>
      <c r="HD7" t="s">
        <v>49</v>
      </c>
      <c r="HE7" s="1">
        <f>0.693/HE8</f>
        <v>4.3312499999999997E-4</v>
      </c>
    </row>
    <row r="8" spans="1:214" x14ac:dyDescent="0.2">
      <c r="A8" t="s">
        <v>439</v>
      </c>
      <c r="B8" s="410">
        <v>1.0399999999999999E-3</v>
      </c>
      <c r="C8" t="s">
        <v>448</v>
      </c>
      <c r="D8" t="s">
        <v>51</v>
      </c>
      <c r="E8">
        <v>350</v>
      </c>
      <c r="F8" t="s">
        <v>60</v>
      </c>
      <c r="G8" t="s">
        <v>446</v>
      </c>
      <c r="H8" s="1">
        <f>B15</f>
        <v>0</v>
      </c>
      <c r="I8" t="s">
        <v>61</v>
      </c>
      <c r="J8" t="s">
        <v>460</v>
      </c>
      <c r="K8" s="1">
        <f>B9</f>
        <v>10.6</v>
      </c>
      <c r="L8" t="s">
        <v>147</v>
      </c>
      <c r="M8" t="s">
        <v>411</v>
      </c>
      <c r="N8" s="1">
        <f>B17</f>
        <v>1600</v>
      </c>
      <c r="O8" t="s">
        <v>119</v>
      </c>
      <c r="P8" t="s">
        <v>411</v>
      </c>
      <c r="Q8" s="1">
        <f>B17</f>
        <v>1600</v>
      </c>
      <c r="R8" t="s">
        <v>119</v>
      </c>
      <c r="S8" t="s">
        <v>411</v>
      </c>
      <c r="T8" s="1">
        <f>B17</f>
        <v>1600</v>
      </c>
      <c r="U8" t="s">
        <v>119</v>
      </c>
      <c r="V8" t="s">
        <v>51</v>
      </c>
      <c r="W8">
        <v>225</v>
      </c>
      <c r="X8" t="s">
        <v>60</v>
      </c>
      <c r="Y8" t="s">
        <v>51</v>
      </c>
      <c r="Z8">
        <v>250</v>
      </c>
      <c r="AA8" t="s">
        <v>60</v>
      </c>
      <c r="AB8" t="s">
        <v>66</v>
      </c>
      <c r="AC8">
        <v>250</v>
      </c>
      <c r="AD8">
        <v>250</v>
      </c>
      <c r="AE8">
        <v>225</v>
      </c>
      <c r="AF8">
        <f>AF12*AF13</f>
        <v>250</v>
      </c>
      <c r="AG8">
        <f>AG12*AG13</f>
        <v>250</v>
      </c>
      <c r="AH8" t="s">
        <v>52</v>
      </c>
      <c r="AI8" t="s">
        <v>411</v>
      </c>
      <c r="AJ8" s="1">
        <f>B17</f>
        <v>1600</v>
      </c>
      <c r="AK8" t="s">
        <v>119</v>
      </c>
      <c r="AL8" t="s">
        <v>411</v>
      </c>
      <c r="AM8" s="1">
        <f>B17</f>
        <v>1600</v>
      </c>
      <c r="AN8" t="s">
        <v>119</v>
      </c>
      <c r="AO8" t="s">
        <v>411</v>
      </c>
      <c r="AP8" s="1">
        <f>B17</f>
        <v>1600</v>
      </c>
      <c r="AQ8" t="s">
        <v>119</v>
      </c>
      <c r="AR8" t="s">
        <v>411</v>
      </c>
      <c r="AS8" s="1">
        <f>B17</f>
        <v>1600</v>
      </c>
      <c r="AT8" t="s">
        <v>119</v>
      </c>
      <c r="AU8" t="s">
        <v>411</v>
      </c>
      <c r="AV8" s="1">
        <f>B17</f>
        <v>1600</v>
      </c>
      <c r="AW8" t="s">
        <v>119</v>
      </c>
      <c r="AX8" t="s">
        <v>411</v>
      </c>
      <c r="AY8" s="1">
        <f>B17</f>
        <v>1600</v>
      </c>
      <c r="AZ8" t="s">
        <v>119</v>
      </c>
      <c r="BA8" t="s">
        <v>411</v>
      </c>
      <c r="BB8" s="1">
        <f>B17</f>
        <v>1600</v>
      </c>
      <c r="BC8" t="s">
        <v>119</v>
      </c>
      <c r="BD8" t="s">
        <v>411</v>
      </c>
      <c r="BE8" s="1">
        <f>B17</f>
        <v>1600</v>
      </c>
      <c r="BF8" t="s">
        <v>119</v>
      </c>
      <c r="BG8" t="s">
        <v>411</v>
      </c>
      <c r="BH8" s="1">
        <f>B17</f>
        <v>1600</v>
      </c>
      <c r="BI8" t="s">
        <v>119</v>
      </c>
      <c r="BJ8" t="s">
        <v>411</v>
      </c>
      <c r="BK8" s="1">
        <f>B17</f>
        <v>1600</v>
      </c>
      <c r="BL8" t="s">
        <v>119</v>
      </c>
      <c r="BM8" t="s">
        <v>411</v>
      </c>
      <c r="BN8" s="1">
        <f>B17</f>
        <v>1600</v>
      </c>
      <c r="BO8" t="s">
        <v>119</v>
      </c>
      <c r="BP8" t="s">
        <v>411</v>
      </c>
      <c r="BQ8" s="1">
        <f>B17</f>
        <v>1600</v>
      </c>
      <c r="BR8" t="s">
        <v>119</v>
      </c>
      <c r="BS8" t="s">
        <v>51</v>
      </c>
      <c r="BT8">
        <v>75</v>
      </c>
      <c r="BU8" t="s">
        <v>60</v>
      </c>
      <c r="BV8" t="s">
        <v>446</v>
      </c>
      <c r="BW8" s="1">
        <f>H8</f>
        <v>0</v>
      </c>
      <c r="BX8" t="s">
        <v>448</v>
      </c>
      <c r="BY8" t="s">
        <v>460</v>
      </c>
      <c r="BZ8" s="1">
        <f>B9</f>
        <v>10.6</v>
      </c>
      <c r="CA8" t="s">
        <v>449</v>
      </c>
      <c r="CB8" t="s">
        <v>411</v>
      </c>
      <c r="CC8" s="1">
        <f>B17</f>
        <v>1600</v>
      </c>
      <c r="CD8" t="s">
        <v>119</v>
      </c>
      <c r="CE8" t="s">
        <v>411</v>
      </c>
      <c r="CF8" s="1">
        <f>B17</f>
        <v>1600</v>
      </c>
      <c r="CG8" t="s">
        <v>119</v>
      </c>
      <c r="CH8" t="s">
        <v>411</v>
      </c>
      <c r="CI8" s="1">
        <f>B17</f>
        <v>1600</v>
      </c>
      <c r="CJ8" t="s">
        <v>119</v>
      </c>
      <c r="CK8" t="s">
        <v>99</v>
      </c>
      <c r="CL8">
        <v>1</v>
      </c>
      <c r="CM8" t="s">
        <v>253</v>
      </c>
      <c r="CN8" t="s">
        <v>64</v>
      </c>
      <c r="CO8" s="1">
        <f>B31</f>
        <v>0.2</v>
      </c>
      <c r="CT8" t="s">
        <v>460</v>
      </c>
      <c r="CU8" s="1">
        <f>B9</f>
        <v>10.6</v>
      </c>
      <c r="CV8" t="s">
        <v>449</v>
      </c>
      <c r="CW8" t="s">
        <v>51</v>
      </c>
      <c r="CX8">
        <v>350</v>
      </c>
      <c r="CY8" t="s">
        <v>60</v>
      </c>
      <c r="CZ8" t="s">
        <v>461</v>
      </c>
      <c r="DA8" s="14">
        <f>B15</f>
        <v>0</v>
      </c>
      <c r="DB8" t="s">
        <v>448</v>
      </c>
      <c r="DC8" t="s">
        <v>469</v>
      </c>
      <c r="DD8" s="427">
        <f>(DD9*DD15*DD16*DD22)+(DD10*DD14*DD17*DD23)</f>
        <v>9024.75</v>
      </c>
      <c r="DE8" t="s">
        <v>213</v>
      </c>
      <c r="DF8" t="s">
        <v>68</v>
      </c>
      <c r="DG8">
        <v>3.62</v>
      </c>
      <c r="DH8" t="s">
        <v>69</v>
      </c>
      <c r="DI8" t="s">
        <v>70</v>
      </c>
      <c r="DJ8">
        <v>0.26</v>
      </c>
      <c r="DL8" t="s">
        <v>70</v>
      </c>
      <c r="DM8">
        <v>0.26</v>
      </c>
      <c r="DO8" t="s">
        <v>68</v>
      </c>
      <c r="DP8">
        <v>3.62</v>
      </c>
      <c r="DQ8" t="s">
        <v>69</v>
      </c>
      <c r="DR8" t="s">
        <v>257</v>
      </c>
      <c r="DS8" s="427">
        <f>(DS11*DS13*DS9*DS19)+(DS12*DS14*DS10*DS20)</f>
        <v>196402.5</v>
      </c>
      <c r="DT8" t="s">
        <v>213</v>
      </c>
      <c r="DX8" t="s">
        <v>70</v>
      </c>
      <c r="DY8">
        <v>0.25</v>
      </c>
      <c r="EA8" t="s">
        <v>70</v>
      </c>
      <c r="EB8">
        <v>0.25</v>
      </c>
      <c r="ED8" t="s">
        <v>70</v>
      </c>
      <c r="EE8">
        <v>0.25</v>
      </c>
      <c r="EG8" t="s">
        <v>258</v>
      </c>
      <c r="EH8" s="427">
        <f>(EH13*EH11*EH9*EH19)+(EH14*EH12*EH10*EH20)</f>
        <v>41592.465753424665</v>
      </c>
      <c r="EI8" t="s">
        <v>213</v>
      </c>
      <c r="EM8" t="s">
        <v>70</v>
      </c>
      <c r="EN8">
        <v>0.25</v>
      </c>
      <c r="EP8" t="s">
        <v>70</v>
      </c>
      <c r="EQ8">
        <v>0.25</v>
      </c>
      <c r="ES8" t="s">
        <v>70</v>
      </c>
      <c r="ET8">
        <v>0.25</v>
      </c>
      <c r="EV8" t="s">
        <v>260</v>
      </c>
      <c r="EW8" s="427">
        <f>(EW11*EW13*EW9*EW19)+(EW12*EW14*EW10*EW20)</f>
        <v>12475.342465753425</v>
      </c>
      <c r="EX8" t="s">
        <v>213</v>
      </c>
      <c r="FB8" t="s">
        <v>290</v>
      </c>
      <c r="FC8">
        <v>0.25</v>
      </c>
      <c r="FE8" t="s">
        <v>290</v>
      </c>
      <c r="FF8">
        <v>0.25</v>
      </c>
      <c r="FH8" t="s">
        <v>290</v>
      </c>
      <c r="FI8">
        <v>0.25</v>
      </c>
      <c r="FK8" t="s">
        <v>263</v>
      </c>
      <c r="FL8" s="402">
        <f>(FL13*FL9*FL11*FL19)+(FL14*FL10*FL12*FL20)</f>
        <v>38250.684931506847</v>
      </c>
      <c r="FM8" t="s">
        <v>213</v>
      </c>
      <c r="FT8" t="s">
        <v>285</v>
      </c>
      <c r="FU8">
        <v>0.25</v>
      </c>
      <c r="FW8" t="s">
        <v>285</v>
      </c>
      <c r="FX8">
        <v>0.25</v>
      </c>
      <c r="FZ8" t="s">
        <v>266</v>
      </c>
      <c r="GA8" s="402">
        <f>(GA11*GA9*GA13*GA19)+(GA14*GA10*GA12*GA20)</f>
        <v>29898.630136986299</v>
      </c>
      <c r="GB8" t="s">
        <v>213</v>
      </c>
      <c r="GF8" t="s">
        <v>279</v>
      </c>
      <c r="GG8">
        <v>0.25</v>
      </c>
      <c r="GI8" t="s">
        <v>279</v>
      </c>
      <c r="GJ8">
        <v>0.25</v>
      </c>
      <c r="GL8" t="s">
        <v>279</v>
      </c>
      <c r="GM8">
        <v>0.25</v>
      </c>
      <c r="GO8" t="s">
        <v>267</v>
      </c>
      <c r="GP8" s="427">
        <f>(GP13*GP9*GP11*GP18)+(GP14*GP10*GP12*GP19)</f>
        <v>23224.657534246577</v>
      </c>
      <c r="GQ8" t="s">
        <v>213</v>
      </c>
      <c r="GU8" t="s">
        <v>284</v>
      </c>
      <c r="GV8">
        <v>0.25</v>
      </c>
      <c r="GX8" t="s">
        <v>284</v>
      </c>
      <c r="GY8">
        <v>0.25</v>
      </c>
      <c r="HA8" t="s">
        <v>284</v>
      </c>
      <c r="HB8">
        <v>0.25</v>
      </c>
      <c r="HD8" t="s">
        <v>411</v>
      </c>
      <c r="HE8" s="1">
        <f>B17</f>
        <v>1600</v>
      </c>
      <c r="HF8" t="s">
        <v>119</v>
      </c>
    </row>
    <row r="9" spans="1:214" x14ac:dyDescent="0.2">
      <c r="A9" t="s">
        <v>440</v>
      </c>
      <c r="B9" s="410">
        <v>10.6</v>
      </c>
      <c r="C9" t="s">
        <v>449</v>
      </c>
      <c r="D9" t="s">
        <v>65</v>
      </c>
      <c r="E9">
        <v>1</v>
      </c>
      <c r="F9" t="s">
        <v>59</v>
      </c>
      <c r="G9" t="s">
        <v>447</v>
      </c>
      <c r="H9" s="1">
        <f>B16</f>
        <v>1.0399999999999999E-3</v>
      </c>
      <c r="I9" t="s">
        <v>61</v>
      </c>
      <c r="J9" t="s">
        <v>447</v>
      </c>
      <c r="K9" s="1">
        <f>B16</f>
        <v>1.0399999999999999E-3</v>
      </c>
      <c r="L9" t="s">
        <v>61</v>
      </c>
      <c r="M9" t="s">
        <v>51</v>
      </c>
      <c r="N9">
        <v>350</v>
      </c>
      <c r="O9" t="s">
        <v>60</v>
      </c>
      <c r="P9" t="s">
        <v>51</v>
      </c>
      <c r="Q9">
        <v>350</v>
      </c>
      <c r="R9" t="s">
        <v>60</v>
      </c>
      <c r="S9" t="s">
        <v>51</v>
      </c>
      <c r="T9">
        <v>350</v>
      </c>
      <c r="U9" t="s">
        <v>60</v>
      </c>
      <c r="V9" t="s">
        <v>65</v>
      </c>
      <c r="W9">
        <v>1</v>
      </c>
      <c r="X9" t="s">
        <v>59</v>
      </c>
      <c r="Y9" t="s">
        <v>65</v>
      </c>
      <c r="Z9">
        <v>1</v>
      </c>
      <c r="AA9" t="s">
        <v>59</v>
      </c>
      <c r="AB9" t="s">
        <v>438</v>
      </c>
      <c r="AC9" s="1">
        <f>B8</f>
        <v>1.0399999999999999E-3</v>
      </c>
      <c r="AD9" s="1">
        <f>B8</f>
        <v>1.0399999999999999E-3</v>
      </c>
      <c r="AE9" s="1">
        <f>B8</f>
        <v>1.0399999999999999E-3</v>
      </c>
      <c r="AF9" s="1">
        <f>B8</f>
        <v>1.0399999999999999E-3</v>
      </c>
      <c r="AG9" s="1">
        <f>B8</f>
        <v>1.0399999999999999E-3</v>
      </c>
      <c r="AH9" t="s">
        <v>448</v>
      </c>
      <c r="AI9" t="s">
        <v>51</v>
      </c>
      <c r="AJ9">
        <v>250</v>
      </c>
      <c r="AK9" t="s">
        <v>60</v>
      </c>
      <c r="AL9" t="s">
        <v>51</v>
      </c>
      <c r="AM9">
        <v>250</v>
      </c>
      <c r="AN9" t="s">
        <v>60</v>
      </c>
      <c r="AO9" t="s">
        <v>51</v>
      </c>
      <c r="AP9">
        <v>250</v>
      </c>
      <c r="AQ9" t="s">
        <v>60</v>
      </c>
      <c r="AR9" t="s">
        <v>51</v>
      </c>
      <c r="AS9">
        <v>225</v>
      </c>
      <c r="AT9" t="s">
        <v>60</v>
      </c>
      <c r="AU9" t="s">
        <v>51</v>
      </c>
      <c r="AV9">
        <v>225</v>
      </c>
      <c r="AW9" t="s">
        <v>60</v>
      </c>
      <c r="AX9" t="s">
        <v>51</v>
      </c>
      <c r="AY9">
        <v>225</v>
      </c>
      <c r="AZ9" t="s">
        <v>60</v>
      </c>
      <c r="BA9" t="s">
        <v>51</v>
      </c>
      <c r="BB9">
        <v>250</v>
      </c>
      <c r="BC9" t="s">
        <v>60</v>
      </c>
      <c r="BD9" t="s">
        <v>51</v>
      </c>
      <c r="BE9">
        <v>250</v>
      </c>
      <c r="BF9" t="s">
        <v>60</v>
      </c>
      <c r="BG9" t="s">
        <v>51</v>
      </c>
      <c r="BH9">
        <v>250</v>
      </c>
      <c r="BI9" t="s">
        <v>60</v>
      </c>
      <c r="BJ9" t="s">
        <v>51</v>
      </c>
      <c r="BK9">
        <f>BK10*BK11</f>
        <v>250</v>
      </c>
      <c r="BL9" t="s">
        <v>60</v>
      </c>
      <c r="BM9" t="s">
        <v>51</v>
      </c>
      <c r="BN9">
        <f>BN10*BN11</f>
        <v>250</v>
      </c>
      <c r="BO9" t="s">
        <v>60</v>
      </c>
      <c r="BP9" t="s">
        <v>51</v>
      </c>
      <c r="BQ9">
        <f>BQ10*BQ11</f>
        <v>250</v>
      </c>
      <c r="BR9" t="s">
        <v>60</v>
      </c>
      <c r="BS9" t="s">
        <v>65</v>
      </c>
      <c r="BT9">
        <v>1</v>
      </c>
      <c r="BU9" t="s">
        <v>59</v>
      </c>
      <c r="BV9" t="s">
        <v>447</v>
      </c>
      <c r="BW9" s="1">
        <f>E35</f>
        <v>1.0399999999999999E-3</v>
      </c>
      <c r="BX9" t="s">
        <v>448</v>
      </c>
      <c r="BY9" t="s">
        <v>148</v>
      </c>
      <c r="BZ9" s="1">
        <f>B18</f>
        <v>1359344473.5814338</v>
      </c>
      <c r="CA9" t="s">
        <v>149</v>
      </c>
      <c r="CB9" t="s">
        <v>51</v>
      </c>
      <c r="CC9">
        <v>75</v>
      </c>
      <c r="CD9" t="s">
        <v>60</v>
      </c>
      <c r="CE9" t="s">
        <v>51</v>
      </c>
      <c r="CF9">
        <v>75</v>
      </c>
      <c r="CG9" t="s">
        <v>60</v>
      </c>
      <c r="CH9" t="s">
        <v>51</v>
      </c>
      <c r="CI9">
        <v>75</v>
      </c>
      <c r="CJ9" t="s">
        <v>60</v>
      </c>
      <c r="CK9" t="s">
        <v>300</v>
      </c>
      <c r="CL9" s="17">
        <v>1</v>
      </c>
      <c r="CM9" t="s">
        <v>380</v>
      </c>
      <c r="CN9" t="s">
        <v>310</v>
      </c>
      <c r="CO9" s="17">
        <v>0.25</v>
      </c>
      <c r="CT9" t="s">
        <v>447</v>
      </c>
      <c r="CU9" s="1">
        <f>B16</f>
        <v>1.0399999999999999E-3</v>
      </c>
      <c r="CV9" t="s">
        <v>448</v>
      </c>
      <c r="CW9" t="s">
        <v>65</v>
      </c>
      <c r="CX9">
        <v>1</v>
      </c>
      <c r="CY9" t="s">
        <v>59</v>
      </c>
      <c r="CZ9" t="s">
        <v>447</v>
      </c>
      <c r="DA9" s="1">
        <f>B16</f>
        <v>1.0399999999999999E-3</v>
      </c>
      <c r="DB9" t="s">
        <v>448</v>
      </c>
      <c r="DC9" t="s">
        <v>467</v>
      </c>
      <c r="DD9" s="1">
        <f>B42</f>
        <v>10.4</v>
      </c>
      <c r="DE9" t="s">
        <v>380</v>
      </c>
      <c r="DF9" t="s">
        <v>74</v>
      </c>
      <c r="DG9">
        <v>0.25</v>
      </c>
      <c r="DH9" t="s">
        <v>75</v>
      </c>
      <c r="DO9" t="s">
        <v>74</v>
      </c>
      <c r="DP9">
        <v>0.25</v>
      </c>
      <c r="DQ9" t="s">
        <v>75</v>
      </c>
      <c r="DR9" t="s">
        <v>254</v>
      </c>
      <c r="DS9">
        <f>B45</f>
        <v>256</v>
      </c>
      <c r="DT9" t="s">
        <v>380</v>
      </c>
      <c r="DX9" t="s">
        <v>317</v>
      </c>
      <c r="DY9" s="1">
        <f>B23</f>
        <v>1E-3</v>
      </c>
      <c r="EA9" t="s">
        <v>317</v>
      </c>
      <c r="EB9" s="1">
        <f>B23</f>
        <v>1E-3</v>
      </c>
      <c r="ED9" t="s">
        <v>317</v>
      </c>
      <c r="EE9" s="1">
        <f>B23</f>
        <v>1E-3</v>
      </c>
      <c r="EG9" t="s">
        <v>91</v>
      </c>
      <c r="EH9">
        <f>4.7*1000/365</f>
        <v>12.876712328767123</v>
      </c>
      <c r="EI9" t="s">
        <v>380</v>
      </c>
      <c r="EM9" t="s">
        <v>318</v>
      </c>
      <c r="EN9" s="1">
        <f>B24</f>
        <v>1E-3</v>
      </c>
      <c r="EP9" t="s">
        <v>318</v>
      </c>
      <c r="EQ9" s="1">
        <f>B24</f>
        <v>1E-3</v>
      </c>
      <c r="ES9" t="s">
        <v>318</v>
      </c>
      <c r="ET9" s="1">
        <f>B24</f>
        <v>1E-3</v>
      </c>
      <c r="EV9" t="s">
        <v>261</v>
      </c>
      <c r="EW9">
        <f>2.3*1000/365</f>
        <v>6.3013698630136989</v>
      </c>
      <c r="EX9" t="s">
        <v>380</v>
      </c>
      <c r="FB9" t="s">
        <v>319</v>
      </c>
      <c r="FC9" s="406">
        <f>B26</f>
        <v>0</v>
      </c>
      <c r="FE9" t="s">
        <v>319</v>
      </c>
      <c r="FF9" s="406">
        <f>B26</f>
        <v>0</v>
      </c>
      <c r="FH9" t="s">
        <v>319</v>
      </c>
      <c r="FI9" s="406">
        <f>B26</f>
        <v>0</v>
      </c>
      <c r="FK9" t="s">
        <v>235</v>
      </c>
      <c r="FL9">
        <f>6.4*1000/365</f>
        <v>17.534246575342465</v>
      </c>
      <c r="FM9" t="s">
        <v>380</v>
      </c>
      <c r="FT9" t="s">
        <v>320</v>
      </c>
      <c r="FU9" s="17">
        <v>1</v>
      </c>
      <c r="FW9" t="s">
        <v>320</v>
      </c>
      <c r="FX9" s="17">
        <v>1</v>
      </c>
      <c r="FZ9" t="s">
        <v>233</v>
      </c>
      <c r="GA9" s="15">
        <f>5*1000/365</f>
        <v>13.698630136986301</v>
      </c>
      <c r="GB9" t="s">
        <v>380</v>
      </c>
      <c r="GF9" t="s">
        <v>321</v>
      </c>
      <c r="GG9" s="406">
        <f>B25</f>
        <v>0</v>
      </c>
      <c r="GI9" t="s">
        <v>321</v>
      </c>
      <c r="GJ9" s="406">
        <f>B25</f>
        <v>0</v>
      </c>
      <c r="GL9" t="s">
        <v>321</v>
      </c>
      <c r="GM9" s="406">
        <f>B25</f>
        <v>0</v>
      </c>
      <c r="GO9" t="s">
        <v>269</v>
      </c>
      <c r="GP9">
        <f>4.5*1000/365</f>
        <v>12.328767123287671</v>
      </c>
      <c r="GQ9" t="s">
        <v>380</v>
      </c>
      <c r="GU9" t="s">
        <v>322</v>
      </c>
      <c r="GV9" s="406">
        <f>B27</f>
        <v>0</v>
      </c>
      <c r="GX9" t="s">
        <v>322</v>
      </c>
      <c r="GY9" s="406">
        <f>B27</f>
        <v>0</v>
      </c>
      <c r="HA9" t="s">
        <v>322</v>
      </c>
      <c r="HB9" s="406">
        <f>B27</f>
        <v>0</v>
      </c>
      <c r="HD9" t="s">
        <v>71</v>
      </c>
      <c r="HE9">
        <v>0.3</v>
      </c>
    </row>
    <row r="10" spans="1:214" x14ac:dyDescent="0.2">
      <c r="A10" t="s">
        <v>441</v>
      </c>
      <c r="B10" s="410">
        <v>0</v>
      </c>
      <c r="C10" t="s">
        <v>450</v>
      </c>
      <c r="D10" t="s">
        <v>436</v>
      </c>
      <c r="E10" s="1">
        <f>B5</f>
        <v>1.2999999999999999E-2</v>
      </c>
      <c r="F10" t="s">
        <v>61</v>
      </c>
      <c r="G10" t="s">
        <v>451</v>
      </c>
      <c r="H10" s="1">
        <f>H5/(H6*H15)</f>
        <v>1.306301598913157</v>
      </c>
      <c r="I10" t="s">
        <v>21</v>
      </c>
      <c r="J10" t="s">
        <v>148</v>
      </c>
      <c r="K10" s="1">
        <f>B18</f>
        <v>1359344473.5814338</v>
      </c>
      <c r="L10" t="s">
        <v>149</v>
      </c>
      <c r="M10" t="s">
        <v>65</v>
      </c>
      <c r="N10">
        <v>1</v>
      </c>
      <c r="O10" t="s">
        <v>59</v>
      </c>
      <c r="P10" t="s">
        <v>65</v>
      </c>
      <c r="Q10">
        <v>1</v>
      </c>
      <c r="R10" t="s">
        <v>59</v>
      </c>
      <c r="S10" t="s">
        <v>65</v>
      </c>
      <c r="T10">
        <v>1</v>
      </c>
      <c r="U10" t="s">
        <v>59</v>
      </c>
      <c r="V10" t="s">
        <v>436</v>
      </c>
      <c r="W10" s="1">
        <f>B5</f>
        <v>1.2999999999999999E-2</v>
      </c>
      <c r="X10" t="s">
        <v>72</v>
      </c>
      <c r="Y10" t="s">
        <v>436</v>
      </c>
      <c r="Z10" s="1">
        <f>B5</f>
        <v>1.2999999999999999E-2</v>
      </c>
      <c r="AA10" t="s">
        <v>72</v>
      </c>
      <c r="AI10" t="s">
        <v>65</v>
      </c>
      <c r="AJ10">
        <v>1</v>
      </c>
      <c r="AK10" t="s">
        <v>59</v>
      </c>
      <c r="AL10" t="s">
        <v>65</v>
      </c>
      <c r="AM10">
        <v>1</v>
      </c>
      <c r="AN10" t="s">
        <v>59</v>
      </c>
      <c r="AO10" t="s">
        <v>65</v>
      </c>
      <c r="AP10">
        <v>1</v>
      </c>
      <c r="AQ10" t="s">
        <v>59</v>
      </c>
      <c r="AR10" t="s">
        <v>65</v>
      </c>
      <c r="AS10">
        <v>1</v>
      </c>
      <c r="AT10" t="s">
        <v>59</v>
      </c>
      <c r="AU10" t="s">
        <v>65</v>
      </c>
      <c r="AV10">
        <v>1</v>
      </c>
      <c r="AW10" t="s">
        <v>59</v>
      </c>
      <c r="AX10" t="s">
        <v>65</v>
      </c>
      <c r="AY10">
        <v>1</v>
      </c>
      <c r="AZ10" t="s">
        <v>59</v>
      </c>
      <c r="BA10" t="s">
        <v>65</v>
      </c>
      <c r="BB10">
        <v>1</v>
      </c>
      <c r="BC10" t="s">
        <v>59</v>
      </c>
      <c r="BD10" t="s">
        <v>65</v>
      </c>
      <c r="BE10">
        <v>1</v>
      </c>
      <c r="BF10" t="s">
        <v>59</v>
      </c>
      <c r="BG10" t="s">
        <v>65</v>
      </c>
      <c r="BH10">
        <v>1</v>
      </c>
      <c r="BI10" t="s">
        <v>59</v>
      </c>
      <c r="BJ10" t="s">
        <v>378</v>
      </c>
      <c r="BK10">
        <v>50</v>
      </c>
      <c r="BL10" t="s">
        <v>389</v>
      </c>
      <c r="BM10" t="s">
        <v>378</v>
      </c>
      <c r="BN10">
        <v>50</v>
      </c>
      <c r="BO10" t="s">
        <v>389</v>
      </c>
      <c r="BP10" t="s">
        <v>378</v>
      </c>
      <c r="BQ10">
        <v>50</v>
      </c>
      <c r="BR10" t="s">
        <v>389</v>
      </c>
      <c r="BS10" t="s">
        <v>436</v>
      </c>
      <c r="BT10" s="1">
        <f>E10</f>
        <v>1.2999999999999999E-2</v>
      </c>
      <c r="BU10" t="s">
        <v>448</v>
      </c>
      <c r="BV10" t="s">
        <v>451</v>
      </c>
      <c r="BW10" s="1">
        <f>BW5/(BW6*BW13)</f>
        <v>213.67521367521371</v>
      </c>
      <c r="BX10" t="s">
        <v>21</v>
      </c>
      <c r="BY10" t="s">
        <v>37</v>
      </c>
      <c r="BZ10" s="1">
        <f>(BZ33*BZ11)/(1-EXP(-BZ11*BZ33))</f>
        <v>1.0056411929569626</v>
      </c>
      <c r="CB10" t="s">
        <v>65</v>
      </c>
      <c r="CC10">
        <v>1</v>
      </c>
      <c r="CD10" t="s">
        <v>59</v>
      </c>
      <c r="CE10" t="s">
        <v>65</v>
      </c>
      <c r="CF10">
        <v>1</v>
      </c>
      <c r="CG10" t="s">
        <v>59</v>
      </c>
      <c r="CH10" t="s">
        <v>65</v>
      </c>
      <c r="CI10">
        <v>1</v>
      </c>
      <c r="CJ10" t="s">
        <v>59</v>
      </c>
      <c r="CN10" t="s">
        <v>308</v>
      </c>
      <c r="CO10" s="17">
        <v>1</v>
      </c>
      <c r="CP10" t="s">
        <v>431</v>
      </c>
      <c r="CT10" t="s">
        <v>148</v>
      </c>
      <c r="CU10" s="1">
        <f>B18</f>
        <v>1359344473.5814338</v>
      </c>
      <c r="CV10" t="s">
        <v>149</v>
      </c>
      <c r="CW10" t="s">
        <v>436</v>
      </c>
      <c r="CX10" s="1">
        <f>B5</f>
        <v>1.2999999999999999E-2</v>
      </c>
      <c r="CY10" t="s">
        <v>448</v>
      </c>
      <c r="CZ10" t="s">
        <v>37</v>
      </c>
      <c r="DA10" s="1">
        <f>(DA39*DA11)/(1-EXP(-DA11*DA39))</f>
        <v>1.0002165781331087</v>
      </c>
      <c r="DC10" t="s">
        <v>468</v>
      </c>
      <c r="DD10" s="1">
        <f>B43</f>
        <v>28.5</v>
      </c>
      <c r="DE10" t="s">
        <v>380</v>
      </c>
      <c r="DF10" t="s">
        <v>63</v>
      </c>
      <c r="DG10">
        <f>B28</f>
        <v>1E-3</v>
      </c>
      <c r="DO10" t="s">
        <v>63</v>
      </c>
      <c r="DP10">
        <f>B28</f>
        <v>1E-3</v>
      </c>
      <c r="DR10" t="s">
        <v>255</v>
      </c>
      <c r="DS10">
        <f>B46</f>
        <v>615</v>
      </c>
      <c r="DT10" t="s">
        <v>380</v>
      </c>
      <c r="DX10" t="s">
        <v>84</v>
      </c>
      <c r="DY10">
        <v>16.899999999999999</v>
      </c>
      <c r="EA10" t="s">
        <v>84</v>
      </c>
      <c r="EB10">
        <v>16.899999999999999</v>
      </c>
      <c r="ED10" t="s">
        <v>84</v>
      </c>
      <c r="EE10">
        <v>16.899999999999999</v>
      </c>
      <c r="EG10" t="s">
        <v>109</v>
      </c>
      <c r="EH10">
        <f>50.2*1000/365</f>
        <v>137.53424657534248</v>
      </c>
      <c r="EI10" t="s">
        <v>380</v>
      </c>
      <c r="EM10" t="s">
        <v>85</v>
      </c>
      <c r="EN10">
        <v>11.77</v>
      </c>
      <c r="EP10" t="s">
        <v>85</v>
      </c>
      <c r="EQ10">
        <v>11.77</v>
      </c>
      <c r="ES10" t="s">
        <v>85</v>
      </c>
      <c r="ET10">
        <v>11.77</v>
      </c>
      <c r="EV10" t="s">
        <v>262</v>
      </c>
      <c r="EW10">
        <f>14.9*1000/365</f>
        <v>40.821917808219176</v>
      </c>
      <c r="EX10" t="s">
        <v>380</v>
      </c>
      <c r="FB10" t="s">
        <v>292</v>
      </c>
      <c r="FC10">
        <v>0.2</v>
      </c>
      <c r="FE10" t="s">
        <v>292</v>
      </c>
      <c r="FF10">
        <v>0.2</v>
      </c>
      <c r="FH10" t="s">
        <v>292</v>
      </c>
      <c r="FI10">
        <v>0.2</v>
      </c>
      <c r="FK10" t="s">
        <v>236</v>
      </c>
      <c r="FL10">
        <f>45.8*1000/365</f>
        <v>125.47945205479452</v>
      </c>
      <c r="FM10" t="s">
        <v>380</v>
      </c>
      <c r="FT10" t="s">
        <v>289</v>
      </c>
      <c r="FU10" s="17">
        <v>1</v>
      </c>
      <c r="FW10" t="s">
        <v>289</v>
      </c>
      <c r="FX10" s="17">
        <v>1</v>
      </c>
      <c r="FZ10" t="s">
        <v>234</v>
      </c>
      <c r="GA10">
        <f>35.8*1000/365</f>
        <v>98.082191780821915</v>
      </c>
      <c r="GB10" t="s">
        <v>380</v>
      </c>
      <c r="GF10" t="s">
        <v>275</v>
      </c>
      <c r="GG10">
        <v>0.2</v>
      </c>
      <c r="GI10" t="s">
        <v>275</v>
      </c>
      <c r="GJ10">
        <v>0.2</v>
      </c>
      <c r="GL10" t="s">
        <v>275</v>
      </c>
      <c r="GM10">
        <v>0.2</v>
      </c>
      <c r="GO10" t="s">
        <v>268</v>
      </c>
      <c r="GP10">
        <f>27.7*1000/365</f>
        <v>75.890410958904113</v>
      </c>
      <c r="GQ10" t="s">
        <v>380</v>
      </c>
      <c r="GU10" t="s">
        <v>280</v>
      </c>
      <c r="GV10">
        <v>4.7</v>
      </c>
      <c r="GX10" t="s">
        <v>280</v>
      </c>
      <c r="GY10">
        <v>4.7</v>
      </c>
      <c r="HA10" t="s">
        <v>280</v>
      </c>
      <c r="HB10">
        <v>4.7</v>
      </c>
      <c r="HD10" t="s">
        <v>76</v>
      </c>
      <c r="HE10" s="1">
        <v>1.5</v>
      </c>
    </row>
    <row r="11" spans="1:214" x14ac:dyDescent="0.2">
      <c r="A11" t="s">
        <v>442</v>
      </c>
      <c r="B11" s="410">
        <v>0</v>
      </c>
      <c r="C11" t="s">
        <v>449</v>
      </c>
      <c r="D11" t="s">
        <v>77</v>
      </c>
      <c r="E11" s="427">
        <f>((E14/E15)*E24*E12*E16*E26)+((E14/E15)*E25*E13*E17*E27)</f>
        <v>6192.3076923076924</v>
      </c>
      <c r="F11" t="s">
        <v>407</v>
      </c>
      <c r="G11" t="s">
        <v>452</v>
      </c>
      <c r="H11" s="1">
        <f>H5/(H7*H16*H28)</f>
        <v>2.4844720496894408E-2</v>
      </c>
      <c r="I11" t="s">
        <v>21</v>
      </c>
      <c r="J11" t="s">
        <v>37</v>
      </c>
      <c r="K11" s="1">
        <f>(K45*K12)/(1-EXP(-K12*K45))</f>
        <v>1.0056411929569626</v>
      </c>
      <c r="M11" t="s">
        <v>462</v>
      </c>
      <c r="N11">
        <v>0.4</v>
      </c>
      <c r="P11" t="s">
        <v>462</v>
      </c>
      <c r="Q11">
        <v>0.4</v>
      </c>
      <c r="S11" t="s">
        <v>462</v>
      </c>
      <c r="T11">
        <v>0.4</v>
      </c>
      <c r="V11" t="s">
        <v>79</v>
      </c>
      <c r="W11">
        <v>8</v>
      </c>
      <c r="X11" t="s">
        <v>80</v>
      </c>
      <c r="Y11" t="s">
        <v>79</v>
      </c>
      <c r="Z11">
        <v>8</v>
      </c>
      <c r="AA11" t="s">
        <v>80</v>
      </c>
      <c r="AB11" t="s">
        <v>65</v>
      </c>
      <c r="AC11">
        <v>1</v>
      </c>
      <c r="AD11">
        <v>1</v>
      </c>
      <c r="AE11">
        <v>1</v>
      </c>
      <c r="AF11">
        <v>1</v>
      </c>
      <c r="AG11">
        <v>1</v>
      </c>
      <c r="AH11" t="s">
        <v>88</v>
      </c>
      <c r="AI11" t="s">
        <v>462</v>
      </c>
      <c r="AJ11">
        <v>0.4</v>
      </c>
      <c r="AL11" t="s">
        <v>462</v>
      </c>
      <c r="AM11">
        <v>0.4</v>
      </c>
      <c r="AO11" t="s">
        <v>462</v>
      </c>
      <c r="AP11">
        <v>0.4</v>
      </c>
      <c r="AR11" t="s">
        <v>462</v>
      </c>
      <c r="AS11">
        <v>0.4</v>
      </c>
      <c r="AU11" t="s">
        <v>462</v>
      </c>
      <c r="AV11">
        <v>0.4</v>
      </c>
      <c r="AX11" t="s">
        <v>462</v>
      </c>
      <c r="AY11">
        <v>0.4</v>
      </c>
      <c r="BA11" t="s">
        <v>462</v>
      </c>
      <c r="BB11">
        <v>0.4</v>
      </c>
      <c r="BD11" t="s">
        <v>462</v>
      </c>
      <c r="BE11">
        <v>0.4</v>
      </c>
      <c r="BG11" t="s">
        <v>462</v>
      </c>
      <c r="BH11">
        <v>0.4</v>
      </c>
      <c r="BJ11" t="s">
        <v>377</v>
      </c>
      <c r="BK11">
        <v>5</v>
      </c>
      <c r="BL11" t="s">
        <v>390</v>
      </c>
      <c r="BM11" t="s">
        <v>377</v>
      </c>
      <c r="BN11">
        <v>5</v>
      </c>
      <c r="BO11" t="s">
        <v>390</v>
      </c>
      <c r="BP11" t="s">
        <v>377</v>
      </c>
      <c r="BQ11">
        <v>5</v>
      </c>
      <c r="BR11" t="s">
        <v>390</v>
      </c>
      <c r="BS11" t="s">
        <v>77</v>
      </c>
      <c r="BT11" s="427">
        <f>(BT25*BT17*BT14*(1/24)*BT12*BT29)+(BT26*BT18*BT15*(1/24)*BT13*BT30)</f>
        <v>93.75</v>
      </c>
      <c r="BU11" t="s">
        <v>407</v>
      </c>
      <c r="BV11" t="s">
        <v>452</v>
      </c>
      <c r="BW11" s="1"/>
      <c r="BX11" t="s">
        <v>21</v>
      </c>
      <c r="BY11" t="s">
        <v>49</v>
      </c>
      <c r="BZ11" s="1">
        <f>0.693/BZ12</f>
        <v>4.3312499999999997E-4</v>
      </c>
      <c r="CB11" t="s">
        <v>463</v>
      </c>
      <c r="CC11">
        <v>0.124</v>
      </c>
      <c r="CE11" t="s">
        <v>463</v>
      </c>
      <c r="CF11">
        <v>5.8099999999999999E-2</v>
      </c>
      <c r="CH11" t="s">
        <v>463</v>
      </c>
      <c r="CI11">
        <v>0.10100000000000001</v>
      </c>
      <c r="CN11" t="s">
        <v>305</v>
      </c>
      <c r="CO11" s="17">
        <v>1</v>
      </c>
      <c r="CP11" t="s">
        <v>431</v>
      </c>
      <c r="CT11" t="s">
        <v>37</v>
      </c>
      <c r="CU11" s="1">
        <f>(CU45*CU12)/(1-EXP(-CU12*CU45))</f>
        <v>1.0086875128436219</v>
      </c>
      <c r="CW11" t="s">
        <v>77</v>
      </c>
      <c r="CX11" s="427">
        <f>((CX15/24)*CX24*CX12*CX16*CX26)+((CX14/24)*CX25*CX13*CX17*CX27)</f>
        <v>6475</v>
      </c>
      <c r="CY11" t="s">
        <v>407</v>
      </c>
      <c r="CZ11" t="s">
        <v>49</v>
      </c>
      <c r="DA11" s="1">
        <f>0.693/DA12</f>
        <v>4.3312499999999997E-4</v>
      </c>
      <c r="DC11" t="s">
        <v>470</v>
      </c>
      <c r="DD11" s="427">
        <f>(DD12*DD15*DD16*DD22)+(DD13*DD14*DD17*DD23)</f>
        <v>17496.5</v>
      </c>
      <c r="DE11" t="s">
        <v>213</v>
      </c>
      <c r="DF11" t="s">
        <v>92</v>
      </c>
      <c r="DG11">
        <f>DG19+DG20</f>
        <v>2.8186643835616437E-5</v>
      </c>
      <c r="DO11" t="s">
        <v>92</v>
      </c>
      <c r="DP11">
        <f>DP19+DP20</f>
        <v>2.6999999999999999E-5</v>
      </c>
      <c r="DR11" t="s">
        <v>67</v>
      </c>
      <c r="DS11">
        <v>350</v>
      </c>
      <c r="DT11" t="s">
        <v>52</v>
      </c>
      <c r="DX11" t="s">
        <v>93</v>
      </c>
      <c r="DY11">
        <v>0.41</v>
      </c>
      <c r="EA11" t="s">
        <v>93</v>
      </c>
      <c r="EB11">
        <v>0.41</v>
      </c>
      <c r="ED11" t="s">
        <v>93</v>
      </c>
      <c r="EE11">
        <v>0.41</v>
      </c>
      <c r="EG11" t="s">
        <v>67</v>
      </c>
      <c r="EH11">
        <v>350</v>
      </c>
      <c r="EI11" t="s">
        <v>52</v>
      </c>
      <c r="EM11" t="s">
        <v>94</v>
      </c>
      <c r="EN11">
        <v>0.39</v>
      </c>
      <c r="EP11" t="s">
        <v>94</v>
      </c>
      <c r="EQ11">
        <v>0.39</v>
      </c>
      <c r="ES11" t="s">
        <v>94</v>
      </c>
      <c r="ET11">
        <v>0.39</v>
      </c>
      <c r="EV11" t="s">
        <v>385</v>
      </c>
      <c r="EW11">
        <v>350</v>
      </c>
      <c r="EX11" t="s">
        <v>52</v>
      </c>
      <c r="FB11" t="s">
        <v>291</v>
      </c>
      <c r="FC11">
        <v>2.1999999999999999E-2</v>
      </c>
      <c r="FE11" t="s">
        <v>291</v>
      </c>
      <c r="FF11">
        <v>2.1999999999999999E-2</v>
      </c>
      <c r="FH11" t="s">
        <v>291</v>
      </c>
      <c r="FI11">
        <v>2.1999999999999999E-2</v>
      </c>
      <c r="FK11" t="s">
        <v>385</v>
      </c>
      <c r="FL11">
        <v>350</v>
      </c>
      <c r="FM11" t="s">
        <v>52</v>
      </c>
      <c r="FT11" t="s">
        <v>288</v>
      </c>
      <c r="FU11" s="17">
        <v>1</v>
      </c>
      <c r="FW11" t="s">
        <v>288</v>
      </c>
      <c r="FX11" s="17">
        <v>1</v>
      </c>
      <c r="FZ11" t="s">
        <v>385</v>
      </c>
      <c r="GA11">
        <v>350</v>
      </c>
      <c r="GB11" t="s">
        <v>52</v>
      </c>
      <c r="GF11" t="s">
        <v>276</v>
      </c>
      <c r="GG11">
        <v>2.1999999999999999E-2</v>
      </c>
      <c r="GI11" t="s">
        <v>276</v>
      </c>
      <c r="GJ11">
        <v>2.1999999999999999E-2</v>
      </c>
      <c r="GL11" t="s">
        <v>276</v>
      </c>
      <c r="GM11">
        <v>2.1999999999999999E-2</v>
      </c>
      <c r="GO11" t="s">
        <v>385</v>
      </c>
      <c r="GP11">
        <v>350</v>
      </c>
      <c r="GQ11" t="s">
        <v>52</v>
      </c>
      <c r="GU11" t="s">
        <v>281</v>
      </c>
      <c r="GV11">
        <v>0.37</v>
      </c>
      <c r="GX11" t="s">
        <v>281</v>
      </c>
      <c r="GY11">
        <v>0.37</v>
      </c>
      <c r="HA11" t="s">
        <v>281</v>
      </c>
      <c r="HB11">
        <v>0.37</v>
      </c>
      <c r="HD11" t="s">
        <v>86</v>
      </c>
      <c r="HE11">
        <v>26</v>
      </c>
    </row>
    <row r="12" spans="1:214" x14ac:dyDescent="0.2">
      <c r="A12" t="s">
        <v>443</v>
      </c>
      <c r="B12" s="410">
        <v>0</v>
      </c>
      <c r="C12" t="s">
        <v>449</v>
      </c>
      <c r="D12" t="s">
        <v>87</v>
      </c>
      <c r="E12">
        <f>B33</f>
        <v>10</v>
      </c>
      <c r="F12" t="s">
        <v>78</v>
      </c>
      <c r="G12" t="s">
        <v>457</v>
      </c>
      <c r="H12" s="1" t="e">
        <f>H5/(H8*(1/H45)*H21)</f>
        <v>#DIV/0!</v>
      </c>
      <c r="I12" t="s">
        <v>21</v>
      </c>
      <c r="J12" t="s">
        <v>49</v>
      </c>
      <c r="K12" s="1">
        <f>0.693/K13</f>
        <v>4.3312499999999997E-4</v>
      </c>
      <c r="M12" t="s">
        <v>463</v>
      </c>
      <c r="N12">
        <v>1</v>
      </c>
      <c r="P12" t="s">
        <v>463</v>
      </c>
      <c r="Q12">
        <v>1</v>
      </c>
      <c r="S12" t="s">
        <v>463</v>
      </c>
      <c r="T12">
        <v>1</v>
      </c>
      <c r="W12">
        <v>24</v>
      </c>
      <c r="X12" t="s">
        <v>80</v>
      </c>
      <c r="Z12">
        <v>24</v>
      </c>
      <c r="AA12" t="s">
        <v>80</v>
      </c>
      <c r="AB12" t="s">
        <v>377</v>
      </c>
      <c r="AF12">
        <v>5</v>
      </c>
      <c r="AG12">
        <v>5</v>
      </c>
      <c r="AH12" t="s">
        <v>193</v>
      </c>
      <c r="AI12" t="s">
        <v>463</v>
      </c>
      <c r="AJ12">
        <v>1</v>
      </c>
      <c r="AL12" t="s">
        <v>463</v>
      </c>
      <c r="AM12">
        <v>1</v>
      </c>
      <c r="AO12" t="s">
        <v>463</v>
      </c>
      <c r="AP12">
        <v>1</v>
      </c>
      <c r="AR12" t="s">
        <v>463</v>
      </c>
      <c r="AS12">
        <v>1</v>
      </c>
      <c r="AU12" t="s">
        <v>463</v>
      </c>
      <c r="AV12">
        <v>1</v>
      </c>
      <c r="AX12" t="s">
        <v>463</v>
      </c>
      <c r="AY12">
        <v>1</v>
      </c>
      <c r="BA12" t="s">
        <v>463</v>
      </c>
      <c r="BB12">
        <v>1</v>
      </c>
      <c r="BD12" t="s">
        <v>463</v>
      </c>
      <c r="BE12">
        <v>1</v>
      </c>
      <c r="BG12" t="s">
        <v>463</v>
      </c>
      <c r="BH12">
        <v>1</v>
      </c>
      <c r="BJ12" t="s">
        <v>65</v>
      </c>
      <c r="BK12">
        <v>1</v>
      </c>
      <c r="BL12" t="s">
        <v>59</v>
      </c>
      <c r="BM12" t="s">
        <v>65</v>
      </c>
      <c r="BN12">
        <v>1</v>
      </c>
      <c r="BO12" t="s">
        <v>59</v>
      </c>
      <c r="BP12" t="s">
        <v>65</v>
      </c>
      <c r="BQ12">
        <v>1</v>
      </c>
      <c r="BR12" t="s">
        <v>59</v>
      </c>
      <c r="BS12" t="s">
        <v>87</v>
      </c>
      <c r="BT12">
        <f>B33</f>
        <v>10</v>
      </c>
      <c r="BU12" t="s">
        <v>78</v>
      </c>
      <c r="BV12" t="s">
        <v>457</v>
      </c>
      <c r="BW12" s="1" t="e">
        <f>BW5/(BW8*(1/BW32)*BW16)</f>
        <v>#DIV/0!</v>
      </c>
      <c r="BX12" t="s">
        <v>21</v>
      </c>
      <c r="BY12" t="s">
        <v>411</v>
      </c>
      <c r="BZ12" s="1">
        <f>B17</f>
        <v>1600</v>
      </c>
      <c r="CA12" t="s">
        <v>119</v>
      </c>
      <c r="CB12" t="s">
        <v>105</v>
      </c>
      <c r="CC12">
        <v>0.79200000000000004</v>
      </c>
      <c r="CE12" t="s">
        <v>105</v>
      </c>
      <c r="CF12">
        <v>0.624</v>
      </c>
      <c r="CH12" t="s">
        <v>105</v>
      </c>
      <c r="CI12">
        <v>0.751</v>
      </c>
      <c r="CN12" t="s">
        <v>306</v>
      </c>
      <c r="CO12" s="17">
        <v>1</v>
      </c>
      <c r="CP12" t="s">
        <v>75</v>
      </c>
      <c r="CT12" t="s">
        <v>49</v>
      </c>
      <c r="CU12" s="1">
        <f>0.693/CU13</f>
        <v>4.3312499999999997E-4</v>
      </c>
      <c r="CW12" t="s">
        <v>87</v>
      </c>
      <c r="CX12">
        <f>B33</f>
        <v>10</v>
      </c>
      <c r="CY12" t="s">
        <v>78</v>
      </c>
      <c r="CZ12" t="s">
        <v>411</v>
      </c>
      <c r="DA12" s="1">
        <f>B17</f>
        <v>1600</v>
      </c>
      <c r="DB12" t="s">
        <v>119</v>
      </c>
      <c r="DC12" t="s">
        <v>471</v>
      </c>
      <c r="DD12" s="1">
        <f>B40</f>
        <v>14.8</v>
      </c>
      <c r="DE12" t="s">
        <v>380</v>
      </c>
      <c r="DF12" t="s">
        <v>101</v>
      </c>
      <c r="DG12">
        <v>10950</v>
      </c>
      <c r="DH12" t="s">
        <v>102</v>
      </c>
      <c r="DO12" t="s">
        <v>101</v>
      </c>
      <c r="DP12">
        <v>10950</v>
      </c>
      <c r="DQ12" t="s">
        <v>102</v>
      </c>
      <c r="DR12" t="s">
        <v>73</v>
      </c>
      <c r="DS12">
        <v>350</v>
      </c>
      <c r="DT12" t="s">
        <v>52</v>
      </c>
      <c r="DX12" t="s">
        <v>103</v>
      </c>
      <c r="DY12">
        <v>1</v>
      </c>
      <c r="EA12" t="s">
        <v>103</v>
      </c>
      <c r="EB12">
        <v>1</v>
      </c>
      <c r="ED12" t="s">
        <v>103</v>
      </c>
      <c r="EE12">
        <v>1</v>
      </c>
      <c r="EG12" t="s">
        <v>73</v>
      </c>
      <c r="EH12">
        <v>350</v>
      </c>
      <c r="EI12" t="s">
        <v>52</v>
      </c>
      <c r="EM12" t="s">
        <v>104</v>
      </c>
      <c r="EN12">
        <v>1</v>
      </c>
      <c r="EP12" t="s">
        <v>104</v>
      </c>
      <c r="EQ12">
        <v>1</v>
      </c>
      <c r="ES12" t="s">
        <v>104</v>
      </c>
      <c r="ET12">
        <v>1</v>
      </c>
      <c r="EV12" t="s">
        <v>386</v>
      </c>
      <c r="EW12">
        <v>350</v>
      </c>
      <c r="EX12" t="s">
        <v>52</v>
      </c>
      <c r="FB12" t="s">
        <v>293</v>
      </c>
      <c r="FC12" s="17">
        <v>1</v>
      </c>
      <c r="FE12" t="s">
        <v>293</v>
      </c>
      <c r="FF12" s="17">
        <v>1</v>
      </c>
      <c r="FH12" t="s">
        <v>293</v>
      </c>
      <c r="FI12" s="17">
        <v>1</v>
      </c>
      <c r="FK12" t="s">
        <v>386</v>
      </c>
      <c r="FL12">
        <v>350</v>
      </c>
      <c r="FM12" t="s">
        <v>52</v>
      </c>
      <c r="FT12" t="s">
        <v>287</v>
      </c>
      <c r="FU12" s="17">
        <v>1</v>
      </c>
      <c r="FW12" t="s">
        <v>287</v>
      </c>
      <c r="FX12" s="17">
        <v>1</v>
      </c>
      <c r="FZ12" t="s">
        <v>386</v>
      </c>
      <c r="GA12">
        <v>350</v>
      </c>
      <c r="GB12" t="s">
        <v>52</v>
      </c>
      <c r="GF12" t="s">
        <v>277</v>
      </c>
      <c r="GG12">
        <v>1</v>
      </c>
      <c r="GI12" t="s">
        <v>277</v>
      </c>
      <c r="GJ12">
        <v>1</v>
      </c>
      <c r="GL12" t="s">
        <v>277</v>
      </c>
      <c r="GM12">
        <v>1</v>
      </c>
      <c r="GO12" t="s">
        <v>386</v>
      </c>
      <c r="GP12">
        <v>350</v>
      </c>
      <c r="GQ12" t="s">
        <v>52</v>
      </c>
      <c r="GU12" t="s">
        <v>282</v>
      </c>
      <c r="GV12">
        <v>1</v>
      </c>
      <c r="GX12" t="s">
        <v>282</v>
      </c>
      <c r="GY12">
        <v>1</v>
      </c>
      <c r="HA12" t="s">
        <v>282</v>
      </c>
      <c r="HB12">
        <v>1</v>
      </c>
      <c r="HE12" s="1"/>
    </row>
    <row r="13" spans="1:214" x14ac:dyDescent="0.2">
      <c r="A13" t="s">
        <v>444</v>
      </c>
      <c r="B13" s="410">
        <v>0</v>
      </c>
      <c r="C13" t="s">
        <v>449</v>
      </c>
      <c r="D13" t="s">
        <v>95</v>
      </c>
      <c r="E13">
        <f>B34</f>
        <v>20</v>
      </c>
      <c r="F13" t="s">
        <v>78</v>
      </c>
      <c r="G13" t="s">
        <v>454</v>
      </c>
      <c r="H13" s="1">
        <f>H14/((1/H42)*(H50+H51+H52))</f>
        <v>11.989520441898446</v>
      </c>
      <c r="I13" t="s">
        <v>21</v>
      </c>
      <c r="J13" t="s">
        <v>411</v>
      </c>
      <c r="K13" s="1">
        <f>B17</f>
        <v>1600</v>
      </c>
      <c r="L13" t="s">
        <v>119</v>
      </c>
      <c r="M13" t="s">
        <v>105</v>
      </c>
      <c r="N13">
        <v>1</v>
      </c>
      <c r="P13" t="s">
        <v>105</v>
      </c>
      <c r="Q13">
        <f>N13</f>
        <v>1</v>
      </c>
      <c r="S13" t="s">
        <v>105</v>
      </c>
      <c r="T13">
        <f>N13</f>
        <v>1</v>
      </c>
      <c r="V13" t="s">
        <v>96</v>
      </c>
      <c r="W13">
        <f>B35</f>
        <v>60</v>
      </c>
      <c r="X13" t="s">
        <v>78</v>
      </c>
      <c r="Y13" t="s">
        <v>96</v>
      </c>
      <c r="Z13">
        <f>B35</f>
        <v>60</v>
      </c>
      <c r="AA13" t="s">
        <v>78</v>
      </c>
      <c r="AB13" t="s">
        <v>378</v>
      </c>
      <c r="AF13">
        <v>50</v>
      </c>
      <c r="AG13">
        <v>50</v>
      </c>
      <c r="AH13" t="s">
        <v>379</v>
      </c>
      <c r="AI13" t="s">
        <v>105</v>
      </c>
      <c r="AJ13">
        <f>N13</f>
        <v>1</v>
      </c>
      <c r="AL13" t="s">
        <v>105</v>
      </c>
      <c r="AM13">
        <f>Q13</f>
        <v>1</v>
      </c>
      <c r="AO13" t="s">
        <v>105</v>
      </c>
      <c r="AP13">
        <f>T13</f>
        <v>1</v>
      </c>
      <c r="AR13" t="s">
        <v>105</v>
      </c>
      <c r="AS13">
        <f>AJ13</f>
        <v>1</v>
      </c>
      <c r="AU13" t="s">
        <v>105</v>
      </c>
      <c r="AV13">
        <f>AM13</f>
        <v>1</v>
      </c>
      <c r="AX13" t="s">
        <v>105</v>
      </c>
      <c r="AY13">
        <f>AP13</f>
        <v>1</v>
      </c>
      <c r="BA13" t="s">
        <v>105</v>
      </c>
      <c r="BB13">
        <v>1</v>
      </c>
      <c r="BD13" t="s">
        <v>105</v>
      </c>
      <c r="BE13">
        <f>AV13</f>
        <v>1</v>
      </c>
      <c r="BG13" t="s">
        <v>105</v>
      </c>
      <c r="BH13">
        <f>AY13</f>
        <v>1</v>
      </c>
      <c r="BJ13" t="s">
        <v>463</v>
      </c>
      <c r="BK13">
        <v>2.41E-4</v>
      </c>
      <c r="BM13" t="s">
        <v>463</v>
      </c>
      <c r="BN13">
        <v>1.17E-4</v>
      </c>
      <c r="BP13" t="s">
        <v>463</v>
      </c>
      <c r="BQ13">
        <v>2.2599999999999999E-4</v>
      </c>
      <c r="BS13" t="s">
        <v>95</v>
      </c>
      <c r="BT13">
        <f>B34</f>
        <v>20</v>
      </c>
      <c r="BU13" t="s">
        <v>78</v>
      </c>
      <c r="BV13" t="s">
        <v>81</v>
      </c>
      <c r="BW13" s="426">
        <f>((BW18*BW21*BW23*BW26*BW14*BW33)+(BW19*BW22*BW24*BW27*BW15*BW34))</f>
        <v>4.5</v>
      </c>
      <c r="BX13" t="s">
        <v>180</v>
      </c>
      <c r="BY13" t="s">
        <v>451</v>
      </c>
      <c r="BZ13" s="1">
        <f>(BZ5/(BZ6*BZ16*(1/BZ36)))*BZ10</f>
        <v>42.976119357135154</v>
      </c>
      <c r="CA13" t="s">
        <v>22</v>
      </c>
      <c r="CB13" t="s">
        <v>166</v>
      </c>
      <c r="CC13">
        <v>1</v>
      </c>
      <c r="CD13" t="s">
        <v>117</v>
      </c>
      <c r="CE13" t="s">
        <v>166</v>
      </c>
      <c r="CF13">
        <v>1</v>
      </c>
      <c r="CG13" t="s">
        <v>117</v>
      </c>
      <c r="CH13" t="s">
        <v>166</v>
      </c>
      <c r="CI13">
        <v>1</v>
      </c>
      <c r="CJ13" t="s">
        <v>117</v>
      </c>
      <c r="CN13" t="s">
        <v>307</v>
      </c>
      <c r="CO13" s="17">
        <v>1</v>
      </c>
      <c r="CP13" t="s">
        <v>75</v>
      </c>
      <c r="CT13" t="s">
        <v>411</v>
      </c>
      <c r="CU13" s="1">
        <f>B17</f>
        <v>1600</v>
      </c>
      <c r="CV13" t="s">
        <v>119</v>
      </c>
      <c r="CW13" t="s">
        <v>95</v>
      </c>
      <c r="CX13">
        <f>B34</f>
        <v>20</v>
      </c>
      <c r="CY13" t="s">
        <v>78</v>
      </c>
      <c r="CZ13" t="s">
        <v>451</v>
      </c>
      <c r="DA13" s="1">
        <f>DA5/(DA6*DA24)</f>
        <v>1.2253580496220997</v>
      </c>
      <c r="DB13" t="s">
        <v>24</v>
      </c>
      <c r="DC13" t="s">
        <v>472</v>
      </c>
      <c r="DD13" s="1">
        <f>B41</f>
        <v>56.2</v>
      </c>
      <c r="DE13" t="s">
        <v>380</v>
      </c>
      <c r="DF13" t="s">
        <v>110</v>
      </c>
      <c r="DG13">
        <v>240</v>
      </c>
      <c r="DH13" t="s">
        <v>111</v>
      </c>
      <c r="DO13" t="s">
        <v>110</v>
      </c>
      <c r="DP13">
        <v>240</v>
      </c>
      <c r="DQ13" t="s">
        <v>111</v>
      </c>
      <c r="DR13" t="s">
        <v>227</v>
      </c>
      <c r="DS13">
        <v>1</v>
      </c>
      <c r="DT13" t="s">
        <v>119</v>
      </c>
      <c r="DX13" t="s">
        <v>112</v>
      </c>
      <c r="DY13">
        <v>1</v>
      </c>
      <c r="EA13" t="s">
        <v>112</v>
      </c>
      <c r="EB13">
        <v>1</v>
      </c>
      <c r="ED13" t="s">
        <v>112</v>
      </c>
      <c r="EE13">
        <v>1</v>
      </c>
      <c r="EG13" t="s">
        <v>227</v>
      </c>
      <c r="EH13">
        <v>1</v>
      </c>
      <c r="EI13" t="s">
        <v>119</v>
      </c>
      <c r="EM13" t="s">
        <v>113</v>
      </c>
      <c r="EN13">
        <v>1</v>
      </c>
      <c r="EP13" t="s">
        <v>113</v>
      </c>
      <c r="EQ13">
        <v>1</v>
      </c>
      <c r="ES13" t="s">
        <v>113</v>
      </c>
      <c r="ET13">
        <v>1</v>
      </c>
      <c r="EV13" t="s">
        <v>227</v>
      </c>
      <c r="EW13">
        <v>1</v>
      </c>
      <c r="EX13" t="s">
        <v>119</v>
      </c>
      <c r="FB13" t="s">
        <v>294</v>
      </c>
      <c r="FC13" s="17">
        <v>1</v>
      </c>
      <c r="FE13" t="s">
        <v>294</v>
      </c>
      <c r="FF13" s="17">
        <v>1</v>
      </c>
      <c r="FH13" t="s">
        <v>294</v>
      </c>
      <c r="FI13" s="17">
        <v>1</v>
      </c>
      <c r="FK13" t="s">
        <v>227</v>
      </c>
      <c r="FL13">
        <v>1</v>
      </c>
      <c r="FM13" t="s">
        <v>119</v>
      </c>
      <c r="FT13" t="s">
        <v>286</v>
      </c>
      <c r="FU13" s="17">
        <v>1</v>
      </c>
      <c r="FW13" t="s">
        <v>286</v>
      </c>
      <c r="FX13" s="17">
        <v>1</v>
      </c>
      <c r="FZ13" t="s">
        <v>227</v>
      </c>
      <c r="GA13">
        <v>1</v>
      </c>
      <c r="GB13" t="s">
        <v>119</v>
      </c>
      <c r="GF13" t="s">
        <v>278</v>
      </c>
      <c r="GG13">
        <v>1</v>
      </c>
      <c r="GI13" t="s">
        <v>278</v>
      </c>
      <c r="GJ13">
        <v>1</v>
      </c>
      <c r="GL13" t="s">
        <v>278</v>
      </c>
      <c r="GM13">
        <v>1</v>
      </c>
      <c r="GO13" t="s">
        <v>227</v>
      </c>
      <c r="GP13">
        <v>1</v>
      </c>
      <c r="GQ13" t="s">
        <v>119</v>
      </c>
      <c r="GU13" t="s">
        <v>283</v>
      </c>
      <c r="GV13">
        <v>1</v>
      </c>
      <c r="GX13" t="s">
        <v>283</v>
      </c>
      <c r="GY13">
        <v>1</v>
      </c>
      <c r="HA13" t="s">
        <v>283</v>
      </c>
      <c r="HB13">
        <v>1</v>
      </c>
      <c r="HD13" t="s">
        <v>391</v>
      </c>
      <c r="HE13" s="1">
        <v>10</v>
      </c>
    </row>
    <row r="14" spans="1:214" x14ac:dyDescent="0.2">
      <c r="A14" t="s">
        <v>445</v>
      </c>
      <c r="B14" s="410">
        <v>0</v>
      </c>
      <c r="C14" t="s">
        <v>449</v>
      </c>
      <c r="D14" t="s">
        <v>106</v>
      </c>
      <c r="E14">
        <v>24</v>
      </c>
      <c r="F14" t="s">
        <v>80</v>
      </c>
      <c r="G14" t="s">
        <v>455</v>
      </c>
      <c r="H14" s="1">
        <f>H5/(H9*(H22+H25)*H43)</f>
        <v>0.15484190641355175</v>
      </c>
      <c r="I14" t="s">
        <v>22</v>
      </c>
      <c r="J14" t="s">
        <v>451</v>
      </c>
      <c r="K14" s="1">
        <f>(K5/(K6*K19*(1/K48)))*K11</f>
        <v>22.447348057075061</v>
      </c>
      <c r="L14" t="s">
        <v>22</v>
      </c>
      <c r="M14" t="s">
        <v>114</v>
      </c>
      <c r="N14">
        <v>7.2999999999999995E-2</v>
      </c>
      <c r="O14" t="s">
        <v>115</v>
      </c>
      <c r="P14" t="s">
        <v>114</v>
      </c>
      <c r="Q14">
        <v>7.2999999999999995E-2</v>
      </c>
      <c r="R14" t="s">
        <v>115</v>
      </c>
      <c r="S14" t="s">
        <v>114</v>
      </c>
      <c r="T14">
        <v>7.2999999999999995E-2</v>
      </c>
      <c r="U14" t="s">
        <v>115</v>
      </c>
      <c r="V14" t="s">
        <v>445</v>
      </c>
      <c r="W14" s="1">
        <f>B14</f>
        <v>0</v>
      </c>
      <c r="X14" t="s">
        <v>107</v>
      </c>
      <c r="Y14" t="s">
        <v>445</v>
      </c>
      <c r="Z14" s="1">
        <f>B14</f>
        <v>0</v>
      </c>
      <c r="AA14" t="s">
        <v>107</v>
      </c>
      <c r="AB14" t="s">
        <v>116</v>
      </c>
      <c r="AF14">
        <v>8</v>
      </c>
      <c r="AG14">
        <v>8</v>
      </c>
      <c r="AH14" t="s">
        <v>80</v>
      </c>
      <c r="AI14" t="s">
        <v>114</v>
      </c>
      <c r="AJ14">
        <v>0</v>
      </c>
      <c r="AK14" t="s">
        <v>115</v>
      </c>
      <c r="AL14" t="s">
        <v>114</v>
      </c>
      <c r="AM14">
        <v>0</v>
      </c>
      <c r="AN14" t="s">
        <v>115</v>
      </c>
      <c r="AO14" t="s">
        <v>114</v>
      </c>
      <c r="AP14">
        <v>0</v>
      </c>
      <c r="AQ14" t="s">
        <v>115</v>
      </c>
      <c r="AR14" t="s">
        <v>114</v>
      </c>
      <c r="AS14">
        <f>8/24</f>
        <v>0.33333333333333331</v>
      </c>
      <c r="AT14" t="s">
        <v>115</v>
      </c>
      <c r="AU14" t="s">
        <v>114</v>
      </c>
      <c r="AV14">
        <f>8/24</f>
        <v>0.33333333333333331</v>
      </c>
      <c r="AW14" t="s">
        <v>115</v>
      </c>
      <c r="AX14" t="s">
        <v>116</v>
      </c>
      <c r="AY14">
        <f>8/24</f>
        <v>0.33333333333333331</v>
      </c>
      <c r="AZ14" t="s">
        <v>117</v>
      </c>
      <c r="BA14" t="s">
        <v>114</v>
      </c>
      <c r="BB14">
        <f>8/24</f>
        <v>0.33333333333333331</v>
      </c>
      <c r="BC14" t="s">
        <v>115</v>
      </c>
      <c r="BD14" t="s">
        <v>114</v>
      </c>
      <c r="BE14">
        <f>8/24</f>
        <v>0.33333333333333331</v>
      </c>
      <c r="BF14" t="s">
        <v>115</v>
      </c>
      <c r="BG14" t="s">
        <v>116</v>
      </c>
      <c r="BH14">
        <f>8/24</f>
        <v>0.33333333333333331</v>
      </c>
      <c r="BI14" t="s">
        <v>117</v>
      </c>
      <c r="BJ14" t="s">
        <v>105</v>
      </c>
      <c r="BK14">
        <v>0.753</v>
      </c>
      <c r="BM14" t="s">
        <v>105</v>
      </c>
      <c r="BN14">
        <v>0.74299999999999999</v>
      </c>
      <c r="BP14" t="s">
        <v>105</v>
      </c>
      <c r="BQ14">
        <v>0.66200000000000003</v>
      </c>
      <c r="BS14" t="s">
        <v>399</v>
      </c>
      <c r="BT14">
        <v>1</v>
      </c>
      <c r="BU14" t="s">
        <v>80</v>
      </c>
      <c r="BV14" t="s">
        <v>97</v>
      </c>
      <c r="BW14">
        <v>0.05</v>
      </c>
      <c r="BX14" t="s">
        <v>89</v>
      </c>
      <c r="BY14" t="s">
        <v>452</v>
      </c>
      <c r="BZ14" s="1">
        <f>(BZ5/(BZ7*BZ17*(1/BZ9)*BZ35))*BZ10</f>
        <v>1121651.5266066769</v>
      </c>
      <c r="CA14" t="s">
        <v>22</v>
      </c>
      <c r="CB14" t="s">
        <v>460</v>
      </c>
      <c r="CC14" s="1">
        <f>B9</f>
        <v>10.6</v>
      </c>
      <c r="CD14" t="s">
        <v>121</v>
      </c>
      <c r="CE14" t="s">
        <v>460</v>
      </c>
      <c r="CF14" s="1">
        <f>B11</f>
        <v>0</v>
      </c>
      <c r="CG14" t="s">
        <v>121</v>
      </c>
      <c r="CH14" t="s">
        <v>460</v>
      </c>
      <c r="CI14" s="1">
        <f>B13</f>
        <v>0</v>
      </c>
      <c r="CJ14" t="s">
        <v>121</v>
      </c>
      <c r="CT14" t="s">
        <v>451</v>
      </c>
      <c r="CU14" s="1">
        <f>(CU5/(CU6*CU25*(1/CU48)))*CU11</f>
        <v>24.0966916589494</v>
      </c>
      <c r="CV14" t="s">
        <v>22</v>
      </c>
      <c r="CW14" t="s">
        <v>165</v>
      </c>
      <c r="CX14">
        <v>24</v>
      </c>
      <c r="CY14" t="s">
        <v>80</v>
      </c>
      <c r="CZ14" t="s">
        <v>452</v>
      </c>
      <c r="DA14" s="1">
        <f>DA5/(DA7*DA25*DA47)</f>
        <v>2.3760023760023761E-2</v>
      </c>
      <c r="DB14" t="s">
        <v>24</v>
      </c>
      <c r="DC14" t="s">
        <v>247</v>
      </c>
      <c r="DD14">
        <v>350</v>
      </c>
      <c r="DE14" t="s">
        <v>52</v>
      </c>
      <c r="DF14" t="s">
        <v>120</v>
      </c>
      <c r="DG14">
        <v>0.26</v>
      </c>
      <c r="DO14" t="s">
        <v>120</v>
      </c>
      <c r="DP14">
        <v>0.26</v>
      </c>
      <c r="DR14" t="s">
        <v>228</v>
      </c>
      <c r="DS14">
        <v>1</v>
      </c>
      <c r="DT14" t="s">
        <v>119</v>
      </c>
      <c r="ED14" t="s">
        <v>120</v>
      </c>
      <c r="EE14">
        <v>0.25</v>
      </c>
      <c r="EG14" t="s">
        <v>228</v>
      </c>
      <c r="EH14">
        <v>1</v>
      </c>
      <c r="EI14" t="s">
        <v>119</v>
      </c>
      <c r="ES14" t="s">
        <v>120</v>
      </c>
      <c r="ET14">
        <v>0.25</v>
      </c>
      <c r="EV14" t="s">
        <v>228</v>
      </c>
      <c r="EW14">
        <v>1</v>
      </c>
      <c r="EX14" t="s">
        <v>119</v>
      </c>
      <c r="FH14" t="s">
        <v>120</v>
      </c>
      <c r="FI14">
        <v>0.25</v>
      </c>
      <c r="FK14" t="s">
        <v>228</v>
      </c>
      <c r="FL14">
        <v>1</v>
      </c>
      <c r="FM14" t="s">
        <v>119</v>
      </c>
      <c r="FT14" t="s">
        <v>186</v>
      </c>
      <c r="FU14" s="1">
        <f>B22</f>
        <v>50</v>
      </c>
      <c r="FW14" t="s">
        <v>120</v>
      </c>
      <c r="FX14">
        <v>0.25</v>
      </c>
      <c r="FZ14" t="s">
        <v>228</v>
      </c>
      <c r="GA14">
        <v>1</v>
      </c>
      <c r="GB14" t="s">
        <v>119</v>
      </c>
      <c r="GL14" t="s">
        <v>279</v>
      </c>
      <c r="GM14">
        <v>0.25</v>
      </c>
      <c r="GO14" t="s">
        <v>228</v>
      </c>
      <c r="GP14">
        <v>1</v>
      </c>
      <c r="GQ14" t="s">
        <v>119</v>
      </c>
      <c r="HA14" t="s">
        <v>120</v>
      </c>
      <c r="HB14">
        <v>0.25</v>
      </c>
      <c r="HD14" t="s">
        <v>118</v>
      </c>
      <c r="HE14">
        <v>8.1999999999999993</v>
      </c>
    </row>
    <row r="15" spans="1:214" ht="13.5" thickBot="1" x14ac:dyDescent="0.25">
      <c r="A15" t="s">
        <v>446</v>
      </c>
      <c r="B15" s="410">
        <v>0</v>
      </c>
      <c r="C15" t="s">
        <v>448</v>
      </c>
      <c r="E15">
        <v>24</v>
      </c>
      <c r="F15" t="s">
        <v>80</v>
      </c>
      <c r="G15" t="s">
        <v>81</v>
      </c>
      <c r="H15" s="3">
        <f>(H32*H29*H17*H70)+(H33*H30*H18*H71)</f>
        <v>736.07692307692309</v>
      </c>
      <c r="I15" t="s">
        <v>180</v>
      </c>
      <c r="J15" t="s">
        <v>452</v>
      </c>
      <c r="K15" s="1">
        <f>(K5/(K7*K20*(1/K10)*K47))*K11</f>
        <v>16981.525441638354</v>
      </c>
      <c r="L15" t="s">
        <v>22</v>
      </c>
      <c r="M15" t="s">
        <v>460</v>
      </c>
      <c r="N15" s="1">
        <f>B9</f>
        <v>10.6</v>
      </c>
      <c r="O15" t="s">
        <v>121</v>
      </c>
      <c r="P15" t="s">
        <v>460</v>
      </c>
      <c r="Q15" s="1">
        <f>B11</f>
        <v>0</v>
      </c>
      <c r="R15" t="s">
        <v>121</v>
      </c>
      <c r="S15" t="s">
        <v>460</v>
      </c>
      <c r="T15" s="1">
        <f>B13</f>
        <v>0</v>
      </c>
      <c r="U15" t="s">
        <v>121</v>
      </c>
      <c r="V15" t="s">
        <v>464</v>
      </c>
      <c r="W15">
        <v>1</v>
      </c>
      <c r="Y15" t="s">
        <v>464</v>
      </c>
      <c r="Z15">
        <v>1</v>
      </c>
      <c r="AB15" t="s">
        <v>124</v>
      </c>
      <c r="AC15">
        <v>1</v>
      </c>
      <c r="AD15">
        <v>1</v>
      </c>
      <c r="AE15">
        <v>1</v>
      </c>
      <c r="AF15">
        <v>1</v>
      </c>
      <c r="AG15">
        <v>1</v>
      </c>
      <c r="AI15" t="s">
        <v>460</v>
      </c>
      <c r="AJ15" s="1">
        <f>B9</f>
        <v>10.6</v>
      </c>
      <c r="AK15" t="s">
        <v>121</v>
      </c>
      <c r="AL15" t="s">
        <v>460</v>
      </c>
      <c r="AM15" s="1">
        <f>B11</f>
        <v>0</v>
      </c>
      <c r="AN15" t="s">
        <v>121</v>
      </c>
      <c r="AO15" t="s">
        <v>460</v>
      </c>
      <c r="AP15" s="1">
        <f>B13</f>
        <v>0</v>
      </c>
      <c r="AQ15" t="s">
        <v>121</v>
      </c>
      <c r="AR15" t="s">
        <v>460</v>
      </c>
      <c r="AS15" s="1">
        <f>B9</f>
        <v>10.6</v>
      </c>
      <c r="AT15" t="s">
        <v>121</v>
      </c>
      <c r="AU15" t="s">
        <v>460</v>
      </c>
      <c r="AV15" s="1">
        <f>B11</f>
        <v>0</v>
      </c>
      <c r="AW15" t="s">
        <v>121</v>
      </c>
      <c r="AX15" t="s">
        <v>460</v>
      </c>
      <c r="AY15" s="1">
        <f>B13</f>
        <v>0</v>
      </c>
      <c r="AZ15" t="s">
        <v>121</v>
      </c>
      <c r="BA15" t="s">
        <v>460</v>
      </c>
      <c r="BB15" s="1">
        <f>B9</f>
        <v>10.6</v>
      </c>
      <c r="BC15" t="s">
        <v>121</v>
      </c>
      <c r="BD15" t="s">
        <v>460</v>
      </c>
      <c r="BE15" s="1">
        <f>B11</f>
        <v>0</v>
      </c>
      <c r="BF15" t="s">
        <v>121</v>
      </c>
      <c r="BG15" t="s">
        <v>460</v>
      </c>
      <c r="BH15" s="1">
        <f>B13</f>
        <v>0</v>
      </c>
      <c r="BI15" t="s">
        <v>121</v>
      </c>
      <c r="BJ15" t="s">
        <v>114</v>
      </c>
      <c r="BK15">
        <f>8/24</f>
        <v>0.33333333333333331</v>
      </c>
      <c r="BL15" t="s">
        <v>115</v>
      </c>
      <c r="BM15" t="s">
        <v>114</v>
      </c>
      <c r="BN15">
        <f>8/24</f>
        <v>0.33333333333333331</v>
      </c>
      <c r="BO15" t="s">
        <v>115</v>
      </c>
      <c r="BP15" t="s">
        <v>116</v>
      </c>
      <c r="BQ15">
        <f>8/24</f>
        <v>0.33333333333333331</v>
      </c>
      <c r="BR15" t="s">
        <v>117</v>
      </c>
      <c r="BS15" t="s">
        <v>398</v>
      </c>
      <c r="BT15">
        <v>1</v>
      </c>
      <c r="BU15" t="s">
        <v>80</v>
      </c>
      <c r="BV15" t="s">
        <v>123</v>
      </c>
      <c r="BW15">
        <v>0.05</v>
      </c>
      <c r="BX15" t="s">
        <v>89</v>
      </c>
      <c r="BY15" t="s">
        <v>453</v>
      </c>
      <c r="BZ15" s="1">
        <f>((BZ5)/(BZ8*BZ22*(1/BZ34)*BZ25*BZ28*(1/24)*BZ31*BZ32))*BZ10</f>
        <v>61061.576568733937</v>
      </c>
      <c r="CA15" t="s">
        <v>22</v>
      </c>
      <c r="CT15" t="s">
        <v>452</v>
      </c>
      <c r="CU15" s="1">
        <f>(CU5/(CU7*CU26*(1/CU10)*CU47))*CU11</f>
        <v>16289.323387639786</v>
      </c>
      <c r="CV15" t="s">
        <v>22</v>
      </c>
      <c r="CW15" t="s">
        <v>163</v>
      </c>
      <c r="CX15">
        <v>24</v>
      </c>
      <c r="CY15" t="s">
        <v>80</v>
      </c>
      <c r="CZ15" t="s">
        <v>457</v>
      </c>
      <c r="DA15" s="1" t="e">
        <f>DA5/(DA8*DA26*(DA48/DA49))</f>
        <v>#DIV/0!</v>
      </c>
      <c r="DB15" t="s">
        <v>24</v>
      </c>
      <c r="DC15" t="s">
        <v>246</v>
      </c>
      <c r="DD15">
        <v>350</v>
      </c>
      <c r="DE15" t="s">
        <v>52</v>
      </c>
      <c r="DF15" t="s">
        <v>125</v>
      </c>
      <c r="DG15">
        <v>0.42</v>
      </c>
      <c r="DH15" t="s">
        <v>75</v>
      </c>
      <c r="DO15" t="s">
        <v>125</v>
      </c>
      <c r="DP15">
        <v>0.42</v>
      </c>
      <c r="DQ15" t="s">
        <v>75</v>
      </c>
      <c r="DR15" t="s">
        <v>229</v>
      </c>
      <c r="DS15">
        <v>1</v>
      </c>
      <c r="DT15" t="s">
        <v>119</v>
      </c>
      <c r="ED15" t="s">
        <v>55</v>
      </c>
      <c r="EE15">
        <v>92</v>
      </c>
      <c r="EF15" t="s">
        <v>56</v>
      </c>
      <c r="EG15" t="s">
        <v>229</v>
      </c>
      <c r="EH15">
        <v>1</v>
      </c>
      <c r="EI15" t="s">
        <v>119</v>
      </c>
      <c r="ES15" t="s">
        <v>57</v>
      </c>
      <c r="ET15">
        <v>53</v>
      </c>
      <c r="EU15" t="s">
        <v>56</v>
      </c>
      <c r="EV15" t="s">
        <v>229</v>
      </c>
      <c r="EW15">
        <v>1</v>
      </c>
      <c r="EX15" t="s">
        <v>119</v>
      </c>
      <c r="FH15" t="s">
        <v>271</v>
      </c>
      <c r="FI15">
        <v>0.4</v>
      </c>
      <c r="FJ15" t="s">
        <v>56</v>
      </c>
      <c r="FK15" t="s">
        <v>229</v>
      </c>
      <c r="FL15">
        <v>1</v>
      </c>
      <c r="FM15" t="s">
        <v>119</v>
      </c>
      <c r="FT15" t="s">
        <v>296</v>
      </c>
      <c r="FU15" s="1">
        <v>8.1999999999999993</v>
      </c>
      <c r="FW15" t="s">
        <v>274</v>
      </c>
      <c r="FX15" s="17">
        <v>1</v>
      </c>
      <c r="FY15" t="s">
        <v>56</v>
      </c>
      <c r="FZ15" t="s">
        <v>229</v>
      </c>
      <c r="GA15">
        <v>1</v>
      </c>
      <c r="GB15" t="s">
        <v>119</v>
      </c>
      <c r="GL15" t="s">
        <v>272</v>
      </c>
      <c r="GM15">
        <v>0.4</v>
      </c>
      <c r="GN15" t="s">
        <v>56</v>
      </c>
      <c r="GO15" t="s">
        <v>229</v>
      </c>
      <c r="GP15">
        <v>1</v>
      </c>
      <c r="GQ15" t="s">
        <v>119</v>
      </c>
      <c r="HA15" t="s">
        <v>273</v>
      </c>
      <c r="HB15">
        <v>11.4</v>
      </c>
      <c r="HC15" t="s">
        <v>56</v>
      </c>
    </row>
    <row r="16" spans="1:214" ht="13.5" thickTop="1" x14ac:dyDescent="0.2">
      <c r="A16" t="s">
        <v>447</v>
      </c>
      <c r="B16" s="410">
        <v>1.0399999999999999E-3</v>
      </c>
      <c r="C16" t="s">
        <v>448</v>
      </c>
      <c r="D16" t="s">
        <v>122</v>
      </c>
      <c r="E16">
        <v>1</v>
      </c>
      <c r="F16" t="s">
        <v>59</v>
      </c>
      <c r="G16" t="s">
        <v>77</v>
      </c>
      <c r="H16" s="426">
        <f>(H29*H19*H32*H70)+(H30*H20*H33*H71)</f>
        <v>6192.3076923076924</v>
      </c>
      <c r="I16" t="s">
        <v>407</v>
      </c>
      <c r="J16" t="s">
        <v>453</v>
      </c>
      <c r="K16" s="1">
        <f>(K5/(K8*K44*((K39*K43*(1/K37))+(K40*K42*(1/K37)))*K32*(1/K46)*K33))*K11</f>
        <v>0.2854522371573307</v>
      </c>
      <c r="L16" t="s">
        <v>22</v>
      </c>
      <c r="M16" t="s">
        <v>136</v>
      </c>
      <c r="N16">
        <v>0.68300000000000005</v>
      </c>
      <c r="O16" t="s">
        <v>115</v>
      </c>
      <c r="P16" t="s">
        <v>136</v>
      </c>
      <c r="Q16">
        <v>0.68300000000000005</v>
      </c>
      <c r="R16" t="s">
        <v>115</v>
      </c>
      <c r="S16" t="s">
        <v>136</v>
      </c>
      <c r="T16">
        <v>0.68300000000000005</v>
      </c>
      <c r="U16" t="s">
        <v>115</v>
      </c>
      <c r="V16" t="s">
        <v>452</v>
      </c>
      <c r="W16" s="1">
        <f>(W5)/((W11/W12)*W8*W9*W10*W13)</f>
        <v>1.7094017094017096E-2</v>
      </c>
      <c r="X16" t="s">
        <v>36</v>
      </c>
      <c r="Y16" t="s">
        <v>452</v>
      </c>
      <c r="Z16" s="1">
        <f>(Z5)/((Z11/Z12)*Z8*Z9*Z10*Z13)</f>
        <v>1.5384615384615385E-2</v>
      </c>
      <c r="AA16" t="s">
        <v>36</v>
      </c>
      <c r="AB16" t="s">
        <v>128</v>
      </c>
      <c r="AC16">
        <v>100</v>
      </c>
      <c r="AD16">
        <v>50</v>
      </c>
      <c r="AE16">
        <v>100</v>
      </c>
      <c r="AF16">
        <v>330</v>
      </c>
      <c r="AG16">
        <v>330</v>
      </c>
      <c r="AI16" t="s">
        <v>136</v>
      </c>
      <c r="AJ16">
        <f>8/24</f>
        <v>0.33333333333333331</v>
      </c>
      <c r="AK16" t="s">
        <v>115</v>
      </c>
      <c r="AL16" t="s">
        <v>136</v>
      </c>
      <c r="AM16">
        <f>8/24</f>
        <v>0.33333333333333331</v>
      </c>
      <c r="AN16" t="s">
        <v>115</v>
      </c>
      <c r="AO16" t="s">
        <v>136</v>
      </c>
      <c r="AP16">
        <f>8/24</f>
        <v>0.33333333333333331</v>
      </c>
      <c r="AQ16" t="s">
        <v>115</v>
      </c>
      <c r="AR16" t="s">
        <v>136</v>
      </c>
      <c r="AS16">
        <v>0</v>
      </c>
      <c r="AT16" t="s">
        <v>115</v>
      </c>
      <c r="AU16" t="s">
        <v>136</v>
      </c>
      <c r="AV16">
        <v>0</v>
      </c>
      <c r="AW16" t="s">
        <v>115</v>
      </c>
      <c r="AX16" t="s">
        <v>136</v>
      </c>
      <c r="AY16">
        <v>0</v>
      </c>
      <c r="AZ16" t="s">
        <v>115</v>
      </c>
      <c r="BA16" t="s">
        <v>136</v>
      </c>
      <c r="BB16">
        <v>0</v>
      </c>
      <c r="BC16" t="s">
        <v>115</v>
      </c>
      <c r="BD16" t="s">
        <v>136</v>
      </c>
      <c r="BE16">
        <v>0</v>
      </c>
      <c r="BF16" t="s">
        <v>115</v>
      </c>
      <c r="BG16" t="s">
        <v>136</v>
      </c>
      <c r="BH16">
        <v>0</v>
      </c>
      <c r="BI16" t="s">
        <v>115</v>
      </c>
      <c r="BJ16" t="s">
        <v>460</v>
      </c>
      <c r="BK16" s="1">
        <f>B9</f>
        <v>10.6</v>
      </c>
      <c r="BL16" t="s">
        <v>121</v>
      </c>
      <c r="BM16" t="s">
        <v>460</v>
      </c>
      <c r="BN16" s="1">
        <f>B11</f>
        <v>0</v>
      </c>
      <c r="BO16" t="s">
        <v>121</v>
      </c>
      <c r="BP16" t="s">
        <v>460</v>
      </c>
      <c r="BQ16" s="1">
        <f>B13</f>
        <v>0</v>
      </c>
      <c r="BR16" t="s">
        <v>121</v>
      </c>
      <c r="BS16" t="s">
        <v>166</v>
      </c>
      <c r="BT16">
        <v>1</v>
      </c>
      <c r="BU16" t="s">
        <v>80</v>
      </c>
      <c r="BV16" t="s">
        <v>240</v>
      </c>
      <c r="BW16" s="427">
        <f>((BW18*BW21*BW23*BW26*BW33)+(BW19*BW22*BW24*BW27*BW34))</f>
        <v>90</v>
      </c>
      <c r="BX16" t="s">
        <v>408</v>
      </c>
      <c r="BY16" t="s">
        <v>82</v>
      </c>
      <c r="BZ16" s="427">
        <f>(BZ18*BZ22*BZ27*BZ37)+(BZ19*BZ23*BZ26*BZ38)</f>
        <v>22500</v>
      </c>
      <c r="CA16" t="s">
        <v>406</v>
      </c>
      <c r="CB16" s="403" t="s">
        <v>8</v>
      </c>
      <c r="CC16" s="76" t="s">
        <v>394</v>
      </c>
      <c r="CD16" s="77" t="s">
        <v>422</v>
      </c>
      <c r="CE16" s="230" t="s">
        <v>8</v>
      </c>
      <c r="CF16" s="76" t="s">
        <v>183</v>
      </c>
      <c r="CG16" s="77" t="s">
        <v>422</v>
      </c>
      <c r="CK16" s="394" t="s">
        <v>8</v>
      </c>
      <c r="CL16" s="395" t="s">
        <v>302</v>
      </c>
      <c r="CM16" s="396" t="s">
        <v>422</v>
      </c>
      <c r="CN16" s="76" t="s">
        <v>8</v>
      </c>
      <c r="CO16" s="76" t="s">
        <v>302</v>
      </c>
      <c r="CP16" s="77" t="s">
        <v>422</v>
      </c>
      <c r="CQ16" s="230" t="s">
        <v>8</v>
      </c>
      <c r="CR16" s="76" t="s">
        <v>302</v>
      </c>
      <c r="CS16" s="77" t="s">
        <v>422</v>
      </c>
      <c r="CT16" t="s">
        <v>453</v>
      </c>
      <c r="CU16" s="1">
        <f>(CU5/(CU8*CU44*((CU39*CU43*(1/CU37))+(CU40*CU42*(1/CU37)))*CU32*(1/CU46)*CU33))*CU11</f>
        <v>0.14728027712156028</v>
      </c>
      <c r="CV16" t="s">
        <v>22</v>
      </c>
      <c r="CW16" t="s">
        <v>122</v>
      </c>
      <c r="CX16">
        <v>1</v>
      </c>
      <c r="CY16" t="s">
        <v>59</v>
      </c>
      <c r="CZ16" t="s">
        <v>476</v>
      </c>
      <c r="DA16" s="1">
        <f>DG3</f>
        <v>2.8072815673160694</v>
      </c>
      <c r="DB16" t="s">
        <v>24</v>
      </c>
      <c r="DC16" t="s">
        <v>227</v>
      </c>
      <c r="DD16">
        <v>1</v>
      </c>
      <c r="DE16" t="s">
        <v>119</v>
      </c>
      <c r="DF16" t="s">
        <v>129</v>
      </c>
      <c r="DG16">
        <f>DG20+(0.693/DG22)</f>
        <v>4.9501186643835612E-2</v>
      </c>
      <c r="DH16" t="s">
        <v>130</v>
      </c>
      <c r="DO16" t="s">
        <v>129</v>
      </c>
      <c r="DP16">
        <f>DP20+(0.693/DP22)</f>
        <v>4.9499999999999995E-2</v>
      </c>
      <c r="DQ16" t="s">
        <v>130</v>
      </c>
      <c r="DS16">
        <v>1000</v>
      </c>
      <c r="DT16" t="s">
        <v>179</v>
      </c>
      <c r="ED16" t="s">
        <v>129</v>
      </c>
      <c r="EE16">
        <f>EE20+(0.693/EE22)</f>
        <v>4.9499999999999995E-2</v>
      </c>
      <c r="EF16" t="s">
        <v>130</v>
      </c>
      <c r="EH16">
        <v>1000</v>
      </c>
      <c r="EI16" t="s">
        <v>179</v>
      </c>
      <c r="ES16" t="s">
        <v>129</v>
      </c>
      <c r="ET16">
        <f>ET20+(0.693/ET22)</f>
        <v>4.9499999999999995E-2</v>
      </c>
      <c r="EU16" t="s">
        <v>130</v>
      </c>
      <c r="EW16" s="15">
        <v>1000</v>
      </c>
      <c r="EX16" t="s">
        <v>179</v>
      </c>
      <c r="FH16" t="s">
        <v>129</v>
      </c>
      <c r="FI16">
        <v>4.9499999999999995E-2</v>
      </c>
      <c r="FJ16" t="s">
        <v>130</v>
      </c>
      <c r="FL16">
        <v>1000</v>
      </c>
      <c r="FM16" t="s">
        <v>179</v>
      </c>
      <c r="FW16" t="s">
        <v>129</v>
      </c>
      <c r="FX16">
        <f>FX20+(0.693/FX22)</f>
        <v>4.9499999999999995E-2</v>
      </c>
      <c r="FY16" t="s">
        <v>130</v>
      </c>
      <c r="GA16">
        <v>1000</v>
      </c>
      <c r="GB16" t="s">
        <v>179</v>
      </c>
      <c r="GL16" t="s">
        <v>129</v>
      </c>
      <c r="GM16">
        <f>GM20+(0.693/GM22)</f>
        <v>4.9499999999999995E-2</v>
      </c>
      <c r="GN16" t="s">
        <v>130</v>
      </c>
      <c r="GO16" t="s">
        <v>270</v>
      </c>
      <c r="GP16">
        <v>1</v>
      </c>
      <c r="HA16" t="s">
        <v>129</v>
      </c>
      <c r="HB16">
        <f>HB20+(0.693/HB22)</f>
        <v>4.9499999999999995E-2</v>
      </c>
      <c r="HC16" t="s">
        <v>130</v>
      </c>
    </row>
    <row r="17" spans="1:214" ht="13.5" thickBot="1" x14ac:dyDescent="0.25">
      <c r="A17" t="s">
        <v>411</v>
      </c>
      <c r="B17" s="410">
        <v>1600</v>
      </c>
      <c r="C17" t="s">
        <v>417</v>
      </c>
      <c r="D17" t="s">
        <v>126</v>
      </c>
      <c r="E17">
        <v>1</v>
      </c>
      <c r="F17" t="s">
        <v>59</v>
      </c>
      <c r="G17" t="s">
        <v>97</v>
      </c>
      <c r="H17">
        <f>B38</f>
        <v>0.78</v>
      </c>
      <c r="J17" t="s">
        <v>454</v>
      </c>
      <c r="K17" s="1">
        <f>K18/(K49+K50)</f>
        <v>0.5932640092473247</v>
      </c>
      <c r="L17" t="s">
        <v>22</v>
      </c>
      <c r="V17" t="s">
        <v>477</v>
      </c>
      <c r="W17" s="1" t="e">
        <f>(W5)/((W11/W12)*W8*W9*W14*(1/365))</f>
        <v>#DIV/0!</v>
      </c>
      <c r="X17" t="s">
        <v>36</v>
      </c>
      <c r="Y17" t="s">
        <v>477</v>
      </c>
      <c r="Z17" s="1" t="e">
        <f>(Z5)/((Z11/Z12)*Z8*Z9*Z14*(1/365))</f>
        <v>#DIV/0!</v>
      </c>
      <c r="AA17" t="s">
        <v>36</v>
      </c>
      <c r="BS17" t="s">
        <v>122</v>
      </c>
      <c r="BT17">
        <v>1</v>
      </c>
      <c r="BU17" t="s">
        <v>59</v>
      </c>
      <c r="BV17" t="s">
        <v>131</v>
      </c>
      <c r="BW17">
        <v>0.5</v>
      </c>
      <c r="BX17" t="s">
        <v>132</v>
      </c>
      <c r="BY17" t="s">
        <v>77</v>
      </c>
      <c r="BZ17" s="427">
        <f>(BZ27*BZ24*BZ20*(BZ29/24)*BZ37)+(BZ26*BZ23*BZ21*(BZ30/24)*BZ38)</f>
        <v>93.75</v>
      </c>
      <c r="CA17" t="s">
        <v>407</v>
      </c>
      <c r="CB17" s="404" t="s">
        <v>32</v>
      </c>
      <c r="CC17" s="78" t="s">
        <v>13</v>
      </c>
      <c r="CD17" s="79" t="s">
        <v>22</v>
      </c>
      <c r="CE17" s="231" t="s">
        <v>32</v>
      </c>
      <c r="CF17" s="78" t="s">
        <v>13</v>
      </c>
      <c r="CG17" s="79" t="s">
        <v>22</v>
      </c>
      <c r="CK17" s="397" t="s">
        <v>303</v>
      </c>
      <c r="CL17" s="78"/>
      <c r="CM17" s="398" t="s">
        <v>22</v>
      </c>
      <c r="CN17" s="78" t="s">
        <v>11</v>
      </c>
      <c r="CO17" s="78"/>
      <c r="CP17" s="79" t="s">
        <v>22</v>
      </c>
      <c r="CQ17" s="231" t="s">
        <v>10</v>
      </c>
      <c r="CR17" s="78"/>
      <c r="CS17" s="79" t="s">
        <v>22</v>
      </c>
      <c r="CT17" t="s">
        <v>454</v>
      </c>
      <c r="CU17" s="1">
        <f>DJ3</f>
        <v>0.13890956905098137</v>
      </c>
      <c r="CV17" t="s">
        <v>22</v>
      </c>
      <c r="CW17" t="s">
        <v>126</v>
      </c>
      <c r="CX17">
        <v>1</v>
      </c>
      <c r="CY17" t="s">
        <v>59</v>
      </c>
      <c r="CZ17" t="s">
        <v>478</v>
      </c>
      <c r="DA17" s="1">
        <f>DD3</f>
        <v>3.6255397522306138E-2</v>
      </c>
      <c r="DB17" t="s">
        <v>22</v>
      </c>
      <c r="DC17" t="s">
        <v>228</v>
      </c>
      <c r="DD17">
        <v>1</v>
      </c>
      <c r="DE17" t="s">
        <v>119</v>
      </c>
      <c r="DF17" t="s">
        <v>133</v>
      </c>
      <c r="DG17">
        <v>60</v>
      </c>
      <c r="DH17" t="s">
        <v>102</v>
      </c>
      <c r="DO17" t="s">
        <v>133</v>
      </c>
      <c r="DP17">
        <v>60</v>
      </c>
      <c r="DQ17" t="s">
        <v>102</v>
      </c>
      <c r="DR17" t="s">
        <v>256</v>
      </c>
      <c r="DS17">
        <v>1</v>
      </c>
      <c r="ED17" t="s">
        <v>133</v>
      </c>
      <c r="EE17">
        <v>60</v>
      </c>
      <c r="EF17" t="s">
        <v>102</v>
      </c>
      <c r="EG17" t="s">
        <v>259</v>
      </c>
      <c r="EH17">
        <v>1</v>
      </c>
      <c r="ES17" t="s">
        <v>133</v>
      </c>
      <c r="ET17">
        <v>60</v>
      </c>
      <c r="EU17" t="s">
        <v>102</v>
      </c>
      <c r="EV17" t="s">
        <v>264</v>
      </c>
      <c r="EW17">
        <v>1</v>
      </c>
      <c r="FH17" t="s">
        <v>133</v>
      </c>
      <c r="FI17">
        <v>60</v>
      </c>
      <c r="FJ17" t="s">
        <v>102</v>
      </c>
      <c r="FK17" t="s">
        <v>265</v>
      </c>
      <c r="FL17">
        <v>1</v>
      </c>
      <c r="FW17" t="s">
        <v>133</v>
      </c>
      <c r="FX17">
        <v>60</v>
      </c>
      <c r="FY17" t="s">
        <v>102</v>
      </c>
      <c r="FZ17" t="s">
        <v>139</v>
      </c>
      <c r="GA17">
        <v>1</v>
      </c>
      <c r="GL17" t="s">
        <v>133</v>
      </c>
      <c r="GM17">
        <v>60</v>
      </c>
      <c r="GN17" t="s">
        <v>102</v>
      </c>
      <c r="GP17">
        <v>365</v>
      </c>
      <c r="GQ17" t="s">
        <v>52</v>
      </c>
      <c r="HA17" t="s">
        <v>133</v>
      </c>
      <c r="HB17">
        <v>60</v>
      </c>
      <c r="HC17" t="s">
        <v>102</v>
      </c>
    </row>
    <row r="18" spans="1:214" ht="13.5" thickTop="1" x14ac:dyDescent="0.2">
      <c r="A18" t="s">
        <v>148</v>
      </c>
      <c r="B18" s="410">
        <f>PEF!D3</f>
        <v>1359344473.5814338</v>
      </c>
      <c r="D18" t="s">
        <v>445</v>
      </c>
      <c r="E18" s="1">
        <f>B14</f>
        <v>0</v>
      </c>
      <c r="F18" t="s">
        <v>107</v>
      </c>
      <c r="G18" t="s">
        <v>123</v>
      </c>
      <c r="H18">
        <f>B39</f>
        <v>2.5</v>
      </c>
      <c r="J18" t="s">
        <v>455</v>
      </c>
      <c r="K18" s="1">
        <f>K5/(K9*(K25+K28)*K38)</f>
        <v>0.15484190641355175</v>
      </c>
      <c r="L18" t="s">
        <v>22</v>
      </c>
      <c r="M18" s="117" t="s">
        <v>13</v>
      </c>
      <c r="N18" s="118" t="s">
        <v>142</v>
      </c>
      <c r="O18" s="118" t="s">
        <v>422</v>
      </c>
      <c r="P18" s="252" t="s">
        <v>13</v>
      </c>
      <c r="Q18" s="118" t="s">
        <v>183</v>
      </c>
      <c r="R18" s="119" t="s">
        <v>422</v>
      </c>
      <c r="V18" t="s">
        <v>452</v>
      </c>
      <c r="W18" s="1">
        <f>(W5*W6*W9)/((W11/W12)*(1-EXP(-W6*W9))*W10*W13*W8*W9)</f>
        <v>1.7097719284326643E-2</v>
      </c>
      <c r="X18" t="s">
        <v>37</v>
      </c>
      <c r="Y18" t="s">
        <v>452</v>
      </c>
      <c r="Z18" s="1">
        <f>(Z5*Z6*Z9)/((Z11/Z12)*(1-EXP(-Z6*Z9))*Z10*Z13*Z8*Z9)</f>
        <v>1.538794735589398E-2</v>
      </c>
      <c r="AA18" t="s">
        <v>37</v>
      </c>
      <c r="AI18" s="133" t="s">
        <v>13</v>
      </c>
      <c r="AJ18" s="134" t="s">
        <v>142</v>
      </c>
      <c r="AK18" s="134" t="s">
        <v>422</v>
      </c>
      <c r="AL18" s="233" t="s">
        <v>13</v>
      </c>
      <c r="AM18" s="134" t="s">
        <v>183</v>
      </c>
      <c r="AN18" s="135" t="s">
        <v>422</v>
      </c>
      <c r="AR18" s="141" t="s">
        <v>13</v>
      </c>
      <c r="AS18" s="142" t="s">
        <v>142</v>
      </c>
      <c r="AT18" s="142" t="s">
        <v>422</v>
      </c>
      <c r="AU18" s="236" t="s">
        <v>13</v>
      </c>
      <c r="AV18" s="142" t="s">
        <v>183</v>
      </c>
      <c r="AW18" s="143" t="s">
        <v>422</v>
      </c>
      <c r="BA18" s="141" t="s">
        <v>13</v>
      </c>
      <c r="BB18" s="142" t="s">
        <v>142</v>
      </c>
      <c r="BC18" s="142" t="s">
        <v>422</v>
      </c>
      <c r="BD18" s="236" t="s">
        <v>13</v>
      </c>
      <c r="BE18" s="142" t="s">
        <v>183</v>
      </c>
      <c r="BF18" s="143" t="s">
        <v>422</v>
      </c>
      <c r="BJ18" s="141" t="s">
        <v>13</v>
      </c>
      <c r="BK18" s="142" t="s">
        <v>142</v>
      </c>
      <c r="BL18" s="142" t="s">
        <v>422</v>
      </c>
      <c r="BM18" s="236" t="s">
        <v>13</v>
      </c>
      <c r="BN18" s="142" t="s">
        <v>183</v>
      </c>
      <c r="BO18" s="143" t="s">
        <v>422</v>
      </c>
      <c r="BS18" t="s">
        <v>126</v>
      </c>
      <c r="BT18">
        <v>1</v>
      </c>
      <c r="BU18" t="s">
        <v>59</v>
      </c>
      <c r="BV18" t="s">
        <v>403</v>
      </c>
      <c r="BW18">
        <v>45</v>
      </c>
      <c r="BX18" t="s">
        <v>52</v>
      </c>
      <c r="BY18" t="s">
        <v>108</v>
      </c>
      <c r="BZ18">
        <f>B36</f>
        <v>200</v>
      </c>
      <c r="CA18" t="s">
        <v>90</v>
      </c>
      <c r="CB18" s="404" t="s">
        <v>475</v>
      </c>
      <c r="CC18" s="80" t="e">
        <f>(CC20*CC21*CC22)/((1-EXP(-CC22*CC21))*CC25*CC29*(CC24/365)*CC27*(CC28/24)*CC26)</f>
        <v>#DIV/0!</v>
      </c>
      <c r="CD18" s="79"/>
      <c r="CE18" s="231" t="s">
        <v>475</v>
      </c>
      <c r="CF18" s="80" t="e">
        <f>(CF20*CF21*CF22)/((1-EXP(-CF22*CF21))*CF25*CF29*(CF24/365)*CF27*(CF28/24)*CF26)</f>
        <v>#DIV/0!</v>
      </c>
      <c r="CG18" s="79"/>
      <c r="CK18" s="397" t="s">
        <v>456</v>
      </c>
      <c r="CL18" s="80">
        <f>CL20/(CL21*CL22*CL23*CL24)</f>
        <v>12.820512820512821</v>
      </c>
      <c r="CM18" s="398"/>
      <c r="CN18" s="78" t="s">
        <v>456</v>
      </c>
      <c r="CO18" s="80">
        <f>CL18/(CO20*((CO25*CO27*CO28*(CO21+CO22))+(CO26*CO27)))</f>
        <v>8841.7329796640151</v>
      </c>
      <c r="CP18" s="79"/>
      <c r="CQ18" s="231" t="s">
        <v>456</v>
      </c>
      <c r="CR18" s="80">
        <f>CL18/(CR20*CR21*(1/CR22))</f>
        <v>12820512.820512822</v>
      </c>
      <c r="CS18" s="79"/>
      <c r="CT18" t="s">
        <v>455</v>
      </c>
      <c r="CU18" s="1">
        <f>DD3</f>
        <v>3.6255397522306138E-2</v>
      </c>
      <c r="CV18" t="s">
        <v>22</v>
      </c>
      <c r="CW18" t="s">
        <v>445</v>
      </c>
      <c r="CX18" s="1">
        <f>B14</f>
        <v>0</v>
      </c>
      <c r="CY18" t="s">
        <v>107</v>
      </c>
      <c r="CZ18" t="s">
        <v>479</v>
      </c>
      <c r="DA18" s="1" t="e">
        <f>EZ3</f>
        <v>#DIV/0!</v>
      </c>
      <c r="DC18" t="s">
        <v>229</v>
      </c>
      <c r="DD18">
        <v>1</v>
      </c>
      <c r="DE18" t="s">
        <v>119</v>
      </c>
      <c r="DF18" t="s">
        <v>135</v>
      </c>
      <c r="DG18">
        <v>2</v>
      </c>
      <c r="DH18" t="s">
        <v>111</v>
      </c>
      <c r="DO18" t="s">
        <v>135</v>
      </c>
      <c r="DP18">
        <v>2</v>
      </c>
      <c r="DQ18" t="s">
        <v>111</v>
      </c>
      <c r="DS18">
        <v>365</v>
      </c>
      <c r="DT18" t="s">
        <v>52</v>
      </c>
      <c r="ED18" t="s">
        <v>135</v>
      </c>
      <c r="EE18">
        <v>2</v>
      </c>
      <c r="EF18" t="s">
        <v>111</v>
      </c>
      <c r="EH18">
        <v>365</v>
      </c>
      <c r="EI18" t="s">
        <v>245</v>
      </c>
      <c r="ES18" t="s">
        <v>135</v>
      </c>
      <c r="ET18">
        <v>2</v>
      </c>
      <c r="EU18" t="s">
        <v>111</v>
      </c>
      <c r="EW18">
        <v>365</v>
      </c>
      <c r="EX18" t="s">
        <v>52</v>
      </c>
      <c r="FH18" t="s">
        <v>135</v>
      </c>
      <c r="FI18">
        <v>2</v>
      </c>
      <c r="FJ18" t="s">
        <v>111</v>
      </c>
      <c r="FL18">
        <v>365</v>
      </c>
      <c r="FM18" t="s">
        <v>52</v>
      </c>
      <c r="FW18" t="s">
        <v>135</v>
      </c>
      <c r="FX18">
        <v>2</v>
      </c>
      <c r="FY18" t="s">
        <v>111</v>
      </c>
      <c r="GA18">
        <v>365</v>
      </c>
      <c r="GB18" t="s">
        <v>52</v>
      </c>
      <c r="GL18" t="s">
        <v>135</v>
      </c>
      <c r="GM18">
        <v>2</v>
      </c>
      <c r="GN18" t="s">
        <v>111</v>
      </c>
      <c r="GO18" t="s">
        <v>433</v>
      </c>
      <c r="GP18" s="1">
        <f>B49</f>
        <v>0.15</v>
      </c>
      <c r="HA18" t="s">
        <v>135</v>
      </c>
      <c r="HB18">
        <v>2</v>
      </c>
      <c r="HC18" t="s">
        <v>111</v>
      </c>
    </row>
    <row r="19" spans="1:214" ht="13.5" thickBot="1" x14ac:dyDescent="0.25">
      <c r="A19" t="s">
        <v>184</v>
      </c>
      <c r="B19" s="410">
        <f>PEF!G3</f>
        <v>776129.4078035407</v>
      </c>
      <c r="D19" t="s">
        <v>464</v>
      </c>
      <c r="E19">
        <v>1</v>
      </c>
      <c r="G19" t="s">
        <v>223</v>
      </c>
      <c r="H19">
        <f>B33</f>
        <v>10</v>
      </c>
      <c r="J19" t="s">
        <v>82</v>
      </c>
      <c r="K19" s="428">
        <f>K21*K31*K35*K53+K22*K32*K34*K54</f>
        <v>43076.923076923078</v>
      </c>
      <c r="L19" t="s">
        <v>406</v>
      </c>
      <c r="M19" s="120" t="s">
        <v>32</v>
      </c>
      <c r="N19" s="121" t="s">
        <v>33</v>
      </c>
      <c r="O19" s="131" t="s">
        <v>146</v>
      </c>
      <c r="P19" s="253" t="s">
        <v>32</v>
      </c>
      <c r="Q19" s="121" t="s">
        <v>33</v>
      </c>
      <c r="R19" s="122" t="s">
        <v>22</v>
      </c>
      <c r="V19" t="s">
        <v>477</v>
      </c>
      <c r="W19" s="1" t="e">
        <f>(W5*W6*W9)/((W11/W12)*(1-EXP(-W6*W9))*W14*W8*W9*(1/365))</f>
        <v>#DIV/0!</v>
      </c>
      <c r="X19" t="s">
        <v>37</v>
      </c>
      <c r="Y19" t="s">
        <v>477</v>
      </c>
      <c r="Z19" s="1" t="e">
        <f>(Z5*Z6*Z9)/((Z11/Z12)*(1-EXP(-Z6*Z9))*Z14*Z8*Z9*(1/365))</f>
        <v>#DIV/0!</v>
      </c>
      <c r="AA19" t="s">
        <v>37</v>
      </c>
      <c r="AB19" t="s">
        <v>463</v>
      </c>
      <c r="AC19">
        <v>1</v>
      </c>
      <c r="AD19">
        <v>1</v>
      </c>
      <c r="AE19">
        <v>1</v>
      </c>
      <c r="AF19">
        <v>1</v>
      </c>
      <c r="AG19">
        <v>1</v>
      </c>
      <c r="AI19" s="136" t="s">
        <v>5</v>
      </c>
      <c r="AJ19" s="84" t="s">
        <v>34</v>
      </c>
      <c r="AK19" s="151" t="s">
        <v>146</v>
      </c>
      <c r="AL19" s="234" t="s">
        <v>5</v>
      </c>
      <c r="AM19" s="84" t="s">
        <v>34</v>
      </c>
      <c r="AN19" s="137" t="s">
        <v>22</v>
      </c>
      <c r="AR19" s="144" t="s">
        <v>2</v>
      </c>
      <c r="AS19" s="86" t="s">
        <v>34</v>
      </c>
      <c r="AT19" s="152" t="s">
        <v>146</v>
      </c>
      <c r="AU19" s="237" t="s">
        <v>2</v>
      </c>
      <c r="AV19" s="86" t="s">
        <v>34</v>
      </c>
      <c r="AW19" s="145" t="s">
        <v>22</v>
      </c>
      <c r="BA19" s="144" t="s">
        <v>4</v>
      </c>
      <c r="BB19" s="86" t="s">
        <v>34</v>
      </c>
      <c r="BC19" s="152" t="s">
        <v>146</v>
      </c>
      <c r="BD19" s="237" t="s">
        <v>4</v>
      </c>
      <c r="BE19" s="86" t="s">
        <v>34</v>
      </c>
      <c r="BF19" s="145" t="s">
        <v>22</v>
      </c>
      <c r="BJ19" s="144" t="s">
        <v>222</v>
      </c>
      <c r="BK19" s="86" t="s">
        <v>34</v>
      </c>
      <c r="BL19" s="152" t="s">
        <v>146</v>
      </c>
      <c r="BM19" s="237" t="s">
        <v>222</v>
      </c>
      <c r="BN19" s="86" t="s">
        <v>34</v>
      </c>
      <c r="BO19" s="145" t="s">
        <v>22</v>
      </c>
      <c r="BS19" t="s">
        <v>445</v>
      </c>
      <c r="BT19" s="1">
        <f>E18</f>
        <v>0</v>
      </c>
      <c r="BU19" t="s">
        <v>107</v>
      </c>
      <c r="BV19" t="s">
        <v>404</v>
      </c>
      <c r="BW19">
        <v>45</v>
      </c>
      <c r="BX19" t="s">
        <v>52</v>
      </c>
      <c r="BY19" t="s">
        <v>127</v>
      </c>
      <c r="BZ19">
        <f>B37</f>
        <v>100</v>
      </c>
      <c r="CA19" t="s">
        <v>90</v>
      </c>
      <c r="CB19" s="405"/>
      <c r="CC19" s="81"/>
      <c r="CD19" s="82"/>
      <c r="CE19" s="232"/>
      <c r="CF19" s="81"/>
      <c r="CG19" s="82"/>
      <c r="CK19" s="399"/>
      <c r="CL19" s="400"/>
      <c r="CM19" s="401"/>
      <c r="CN19" s="393"/>
      <c r="CO19" s="81"/>
      <c r="CP19" s="82"/>
      <c r="CQ19" s="232"/>
      <c r="CR19" s="81"/>
      <c r="CS19" s="82"/>
      <c r="CT19" t="s">
        <v>479</v>
      </c>
      <c r="CU19" s="1" t="e">
        <f>FC3</f>
        <v>#DIV/0!</v>
      </c>
      <c r="CV19" t="s">
        <v>22</v>
      </c>
      <c r="CW19" t="s">
        <v>464</v>
      </c>
      <c r="CX19">
        <v>1</v>
      </c>
      <c r="CZ19" t="s">
        <v>480</v>
      </c>
      <c r="DA19" s="1" t="e">
        <f>GS3</f>
        <v>#DIV/0!</v>
      </c>
      <c r="DD19" s="1">
        <v>9.9999999999999995E-7</v>
      </c>
      <c r="DF19" t="s">
        <v>137</v>
      </c>
      <c r="DG19">
        <v>2.6999999999999999E-5</v>
      </c>
      <c r="DH19" t="s">
        <v>130</v>
      </c>
      <c r="DO19" t="s">
        <v>137</v>
      </c>
      <c r="DP19">
        <v>2.6999999999999999E-5</v>
      </c>
      <c r="DQ19" t="s">
        <v>130</v>
      </c>
      <c r="DR19" t="s">
        <v>433</v>
      </c>
      <c r="DS19" s="1">
        <f>B49</f>
        <v>0.15</v>
      </c>
      <c r="ED19" t="s">
        <v>137</v>
      </c>
      <c r="EE19">
        <v>2.6999999999999999E-5</v>
      </c>
      <c r="EF19" t="s">
        <v>130</v>
      </c>
      <c r="EG19" t="s">
        <v>433</v>
      </c>
      <c r="EH19" s="1">
        <f>B49</f>
        <v>0.15</v>
      </c>
      <c r="ES19" t="s">
        <v>137</v>
      </c>
      <c r="ET19">
        <v>2.6999999999999999E-5</v>
      </c>
      <c r="EU19" t="s">
        <v>130</v>
      </c>
      <c r="EV19" t="s">
        <v>433</v>
      </c>
      <c r="EW19" s="1">
        <f>B49</f>
        <v>0.15</v>
      </c>
      <c r="FH19" t="s">
        <v>137</v>
      </c>
      <c r="FI19">
        <v>2.6999999999999999E-5</v>
      </c>
      <c r="FJ19" t="s">
        <v>130</v>
      </c>
      <c r="FK19" t="s">
        <v>433</v>
      </c>
      <c r="FL19" s="1">
        <f>B49</f>
        <v>0.15</v>
      </c>
      <c r="FW19" t="s">
        <v>137</v>
      </c>
      <c r="FX19">
        <v>2.6999999999999999E-5</v>
      </c>
      <c r="FY19" t="s">
        <v>130</v>
      </c>
      <c r="FZ19" t="s">
        <v>433</v>
      </c>
      <c r="GA19" s="1">
        <f>B49</f>
        <v>0.15</v>
      </c>
      <c r="GL19" t="s">
        <v>137</v>
      </c>
      <c r="GM19">
        <v>2.6999999999999999E-5</v>
      </c>
      <c r="GN19" t="s">
        <v>130</v>
      </c>
      <c r="GO19" t="s">
        <v>432</v>
      </c>
      <c r="GP19" s="1">
        <f>B50</f>
        <v>0.85</v>
      </c>
      <c r="HA19" t="s">
        <v>137</v>
      </c>
      <c r="HB19">
        <v>2.6999999999999999E-5</v>
      </c>
      <c r="HC19" t="s">
        <v>130</v>
      </c>
    </row>
    <row r="20" spans="1:214" ht="14.25" thickTop="1" thickBot="1" x14ac:dyDescent="0.25">
      <c r="A20" t="s">
        <v>185</v>
      </c>
      <c r="B20" s="410">
        <f>PEF!J3</f>
        <v>69557565.807898715</v>
      </c>
      <c r="D20" t="s">
        <v>452</v>
      </c>
      <c r="E20" s="1">
        <f>(E5)/((E14/E15)*E10*E11)</f>
        <v>1.2422360248447204E-2</v>
      </c>
      <c r="F20" t="s">
        <v>36</v>
      </c>
      <c r="G20" t="s">
        <v>224</v>
      </c>
      <c r="H20">
        <f>B34</f>
        <v>20</v>
      </c>
      <c r="J20" t="s">
        <v>77</v>
      </c>
      <c r="K20" s="428">
        <f>(K35*K31*K23*(K36/24)*K53)+(K34*K32*K24*(K37/24)*K54)</f>
        <v>6192.3076923076924</v>
      </c>
      <c r="L20" t="s">
        <v>134</v>
      </c>
      <c r="M20" s="120" t="s">
        <v>475</v>
      </c>
      <c r="N20" s="123" t="e">
        <f>(N22*N23*N24)/((1-EXP(-N24*N23))*N27*N32*(N26/365)*N30*((N31*N29)+(N33*N28)))</f>
        <v>#DIV/0!</v>
      </c>
      <c r="O20" s="131"/>
      <c r="P20" s="253" t="s">
        <v>475</v>
      </c>
      <c r="Q20" s="123" t="e">
        <f>(Q22*Q23*Q24)/((1-EXP(-Q24*Q23))*Q27*Q32*(Q26/365)*Q30*((Q31*Q29)+(Q33*Q28)))</f>
        <v>#DIV/0!</v>
      </c>
      <c r="R20" s="122"/>
      <c r="AB20" t="s">
        <v>412</v>
      </c>
      <c r="AC20">
        <f>B35</f>
        <v>60</v>
      </c>
      <c r="AD20">
        <f>B35</f>
        <v>60</v>
      </c>
      <c r="AE20">
        <f>B35</f>
        <v>60</v>
      </c>
      <c r="AF20">
        <f>B35</f>
        <v>60</v>
      </c>
      <c r="AG20">
        <f>B35</f>
        <v>60</v>
      </c>
      <c r="AH20" t="s">
        <v>78</v>
      </c>
      <c r="AI20" s="136" t="s">
        <v>475</v>
      </c>
      <c r="AJ20" s="85" t="e">
        <f>(AJ22*AJ23*AJ24)/((1-EXP(-AJ24*AJ23))*AJ27*AJ32*(AJ26/365)*AJ30*((AJ31*AJ29)+(AJ33*AJ28)))</f>
        <v>#DIV/0!</v>
      </c>
      <c r="AK20" s="151"/>
      <c r="AL20" s="234" t="s">
        <v>475</v>
      </c>
      <c r="AM20" s="85" t="e">
        <f>(AM22*AM23*AM24)/((1-EXP(-AM24*AM23))*AM27*AM32*(AM26/365)*AM30*((AM31*AM29)+(AM33*AM28)))</f>
        <v>#DIV/0!</v>
      </c>
      <c r="AN20" s="137"/>
      <c r="AR20" s="144" t="s">
        <v>475</v>
      </c>
      <c r="AS20" s="87" t="e">
        <f>(AS22*AS23*AS24)/((1-EXP(-AS24*AS23))*AS27*AS32*(AS26/365)*AS30*((AS31*AS29)+(AS33*AS28)))</f>
        <v>#DIV/0!</v>
      </c>
      <c r="AT20" s="152"/>
      <c r="AU20" s="237" t="s">
        <v>475</v>
      </c>
      <c r="AV20" s="87" t="e">
        <f>(AV22*AV23*AV24)/((1-EXP(-AV24*AV23))*AV27*AV32*(AV26/365)*AV30*((AV31*AV29)+(AV33*AV28)))</f>
        <v>#DIV/0!</v>
      </c>
      <c r="AW20" s="145"/>
      <c r="BA20" s="144" t="s">
        <v>475</v>
      </c>
      <c r="BB20" s="87" t="e">
        <f>(BB22*BB23*BB24)/((1-EXP(-BB24*BB23))*BB27*BB32*(BB26/365)*BB30*((BB31*BB29)+(BB33*BB28)))</f>
        <v>#DIV/0!</v>
      </c>
      <c r="BC20" s="152"/>
      <c r="BD20" s="237" t="s">
        <v>475</v>
      </c>
      <c r="BE20" s="87" t="e">
        <f>(BE22*BE23*BE24)/((1-EXP(-BE24*BE23))*BE27*BE32*(BE26/365)*BE30*((BE31*BE29)+(BE33*BE28)))</f>
        <v>#DIV/0!</v>
      </c>
      <c r="BF20" s="145"/>
      <c r="BJ20" s="144" t="s">
        <v>475</v>
      </c>
      <c r="BK20" s="87" t="e">
        <f>(BK22*BK23*BK24)/((1-EXP(-BK24*BK23))*BK29*BK34*(BK26/365)*BK32*BK33*BK31)</f>
        <v>#DIV/0!</v>
      </c>
      <c r="BL20" s="152"/>
      <c r="BM20" s="237" t="s">
        <v>475</v>
      </c>
      <c r="BN20" s="87" t="e">
        <f>(BN22*BN23*BN24)/((1-EXP(-BN24*BN23))*BN29*BN34*(BN26/365)*BN32*BN33*BN31)</f>
        <v>#DIV/0!</v>
      </c>
      <c r="BO20" s="145"/>
      <c r="BS20" t="s">
        <v>464</v>
      </c>
      <c r="BT20">
        <v>1</v>
      </c>
      <c r="BV20" t="s">
        <v>100</v>
      </c>
      <c r="BW20">
        <v>1</v>
      </c>
      <c r="BX20" t="s">
        <v>119</v>
      </c>
      <c r="BY20" t="s">
        <v>223</v>
      </c>
      <c r="BZ20">
        <f>B33</f>
        <v>10</v>
      </c>
      <c r="CA20" t="s">
        <v>78</v>
      </c>
      <c r="CB20" t="s">
        <v>458</v>
      </c>
      <c r="CC20" s="1">
        <v>1</v>
      </c>
      <c r="CD20" t="s">
        <v>459</v>
      </c>
      <c r="CE20" t="s">
        <v>458</v>
      </c>
      <c r="CF20" s="1">
        <v>1</v>
      </c>
      <c r="CG20" t="s">
        <v>459</v>
      </c>
      <c r="CK20" t="s">
        <v>458</v>
      </c>
      <c r="CL20" s="1">
        <v>1</v>
      </c>
      <c r="CM20" t="s">
        <v>459</v>
      </c>
      <c r="CN20" t="s">
        <v>396</v>
      </c>
      <c r="CO20" s="1">
        <f>B28</f>
        <v>1E-3</v>
      </c>
      <c r="CQ20" t="s">
        <v>396</v>
      </c>
      <c r="CR20">
        <f>CO20</f>
        <v>1E-3</v>
      </c>
      <c r="CT20" t="s">
        <v>480</v>
      </c>
      <c r="CU20" s="1" t="e">
        <f>GV3</f>
        <v>#DIV/0!</v>
      </c>
      <c r="CV20" t="s">
        <v>22</v>
      </c>
      <c r="CW20" t="s">
        <v>452</v>
      </c>
      <c r="CX20" s="1">
        <f>(CX5)/((CX14/CX15)*CX10*CX11)</f>
        <v>1.188001188001188E-2</v>
      </c>
      <c r="CY20" t="s">
        <v>36</v>
      </c>
      <c r="CZ20" t="s">
        <v>481</v>
      </c>
      <c r="DA20" s="1">
        <f>EK3</f>
        <v>0.43619042042183798</v>
      </c>
      <c r="DD20" s="1">
        <v>1000</v>
      </c>
      <c r="DE20" t="s">
        <v>179</v>
      </c>
      <c r="DF20" t="s">
        <v>138</v>
      </c>
      <c r="DG20" s="1">
        <f>0.693/DG23</f>
        <v>1.1866438356164383E-6</v>
      </c>
      <c r="DH20" t="s">
        <v>130</v>
      </c>
      <c r="DO20" t="s">
        <v>138</v>
      </c>
      <c r="DP20">
        <v>0</v>
      </c>
      <c r="DQ20" t="s">
        <v>130</v>
      </c>
      <c r="DR20" t="s">
        <v>432</v>
      </c>
      <c r="DS20" s="1">
        <f>B50</f>
        <v>0.85</v>
      </c>
      <c r="ED20" t="s">
        <v>138</v>
      </c>
      <c r="EE20">
        <v>0</v>
      </c>
      <c r="EF20" t="s">
        <v>130</v>
      </c>
      <c r="EG20" t="s">
        <v>432</v>
      </c>
      <c r="EH20" s="1">
        <f>B50</f>
        <v>0.85</v>
      </c>
      <c r="ES20" t="s">
        <v>138</v>
      </c>
      <c r="ET20">
        <v>0</v>
      </c>
      <c r="EU20" t="s">
        <v>130</v>
      </c>
      <c r="EV20" t="s">
        <v>432</v>
      </c>
      <c r="EW20" s="1">
        <f>B50</f>
        <v>0.85</v>
      </c>
      <c r="FH20" t="s">
        <v>138</v>
      </c>
      <c r="FI20">
        <v>0</v>
      </c>
      <c r="FJ20" t="s">
        <v>130</v>
      </c>
      <c r="FK20" t="s">
        <v>432</v>
      </c>
      <c r="FL20" s="1">
        <f>B50</f>
        <v>0.85</v>
      </c>
      <c r="FW20" t="s">
        <v>138</v>
      </c>
      <c r="FX20">
        <v>0</v>
      </c>
      <c r="FY20" t="s">
        <v>130</v>
      </c>
      <c r="FZ20" t="s">
        <v>432</v>
      </c>
      <c r="GA20" s="1">
        <f>B50</f>
        <v>0.85</v>
      </c>
      <c r="GL20" t="s">
        <v>138</v>
      </c>
      <c r="GM20">
        <v>0</v>
      </c>
      <c r="GN20" t="s">
        <v>130</v>
      </c>
      <c r="HA20" t="s">
        <v>138</v>
      </c>
      <c r="HB20">
        <v>0</v>
      </c>
      <c r="HC20" t="s">
        <v>130</v>
      </c>
    </row>
    <row r="21" spans="1:214" ht="14.25" thickTop="1" thickBot="1" x14ac:dyDescent="0.25">
      <c r="A21" t="s">
        <v>411</v>
      </c>
      <c r="B21" s="410">
        <v>584000</v>
      </c>
      <c r="C21" t="s">
        <v>381</v>
      </c>
      <c r="D21" t="s">
        <v>477</v>
      </c>
      <c r="E21" s="1" t="e">
        <f>(E5)/((E14/E15)*E8*E9*E18*(1/365)*E19)</f>
        <v>#DIV/0!</v>
      </c>
      <c r="F21" t="s">
        <v>36</v>
      </c>
      <c r="G21" t="s">
        <v>240</v>
      </c>
      <c r="H21" s="426">
        <f>(H29*H32*H38*H34*H70)+(H30*H33*H39*H35*H71)</f>
        <v>234.76923076923077</v>
      </c>
      <c r="I21" t="s">
        <v>408</v>
      </c>
      <c r="J21" t="s">
        <v>108</v>
      </c>
      <c r="K21">
        <f>B36</f>
        <v>200</v>
      </c>
      <c r="L21" t="s">
        <v>90</v>
      </c>
      <c r="M21" s="124"/>
      <c r="N21" s="125"/>
      <c r="O21" s="169"/>
      <c r="P21" s="254"/>
      <c r="Q21" s="125"/>
      <c r="R21" s="126"/>
      <c r="AB21" t="s">
        <v>462</v>
      </c>
      <c r="AC21">
        <v>0.4</v>
      </c>
      <c r="AD21">
        <v>0.4</v>
      </c>
      <c r="AE21">
        <v>0.4</v>
      </c>
      <c r="AF21">
        <v>0.4</v>
      </c>
      <c r="AG21">
        <v>0.4</v>
      </c>
      <c r="AI21" s="138" t="s">
        <v>32</v>
      </c>
      <c r="AJ21" s="139"/>
      <c r="AK21" s="153"/>
      <c r="AL21" s="235" t="s">
        <v>32</v>
      </c>
      <c r="AM21" s="139"/>
      <c r="AN21" s="140"/>
      <c r="AR21" s="146" t="s">
        <v>32</v>
      </c>
      <c r="AS21" s="147"/>
      <c r="AT21" s="154"/>
      <c r="AU21" s="238" t="s">
        <v>32</v>
      </c>
      <c r="AV21" s="147"/>
      <c r="AW21" s="148"/>
      <c r="BA21" s="146" t="s">
        <v>32</v>
      </c>
      <c r="BB21" s="147"/>
      <c r="BC21" s="154"/>
      <c r="BD21" s="238" t="s">
        <v>32</v>
      </c>
      <c r="BE21" s="147"/>
      <c r="BF21" s="148"/>
      <c r="BJ21" s="146" t="s">
        <v>32</v>
      </c>
      <c r="BK21" s="147"/>
      <c r="BL21" s="154"/>
      <c r="BM21" s="238" t="s">
        <v>32</v>
      </c>
      <c r="BN21" s="147"/>
      <c r="BO21" s="148"/>
      <c r="BS21" t="s">
        <v>452</v>
      </c>
      <c r="BT21" s="1">
        <f>(BT5)/(BT10*BT11)</f>
        <v>0.82051282051282048</v>
      </c>
      <c r="BU21" t="s">
        <v>36</v>
      </c>
      <c r="BV21" t="s">
        <v>402</v>
      </c>
      <c r="BW21">
        <v>1</v>
      </c>
      <c r="BY21" t="s">
        <v>224</v>
      </c>
      <c r="BZ21">
        <f>B34</f>
        <v>20</v>
      </c>
      <c r="CA21" t="s">
        <v>78</v>
      </c>
      <c r="CB21" t="s">
        <v>58</v>
      </c>
      <c r="CC21">
        <v>26</v>
      </c>
      <c r="CD21" t="s">
        <v>59</v>
      </c>
      <c r="CE21" t="s">
        <v>58</v>
      </c>
      <c r="CF21">
        <v>26</v>
      </c>
      <c r="CG21" t="s">
        <v>59</v>
      </c>
      <c r="CK21" t="s">
        <v>447</v>
      </c>
      <c r="CL21" s="1">
        <f>E35</f>
        <v>1.0399999999999999E-3</v>
      </c>
      <c r="CM21" t="s">
        <v>22</v>
      </c>
      <c r="CN21" t="s">
        <v>47</v>
      </c>
      <c r="CO21">
        <f>CO23</f>
        <v>0.2</v>
      </c>
      <c r="CQ21" t="s">
        <v>316</v>
      </c>
      <c r="CR21" s="17">
        <v>1</v>
      </c>
      <c r="CS21" t="s">
        <v>56</v>
      </c>
      <c r="CT21" t="s">
        <v>481</v>
      </c>
      <c r="CU21" s="1">
        <f>EN3</f>
        <v>6.9371619752010236</v>
      </c>
      <c r="CV21" t="s">
        <v>22</v>
      </c>
      <c r="CW21" t="s">
        <v>477</v>
      </c>
      <c r="CX21" s="1" t="e">
        <f>(CX5)/((CX14/CX15)*CX8*CX9*CX18*(1/365)*CX19)</f>
        <v>#DIV/0!</v>
      </c>
      <c r="CY21" t="s">
        <v>36</v>
      </c>
      <c r="CZ21" t="s">
        <v>482</v>
      </c>
      <c r="DA21" s="1">
        <f>DV3</f>
        <v>5.3214724948625454E-2</v>
      </c>
      <c r="DC21" t="s">
        <v>139</v>
      </c>
      <c r="DD21">
        <v>1</v>
      </c>
      <c r="DF21" t="s">
        <v>140</v>
      </c>
      <c r="DG21">
        <v>1</v>
      </c>
      <c r="DH21" t="s">
        <v>75</v>
      </c>
      <c r="DO21" t="s">
        <v>140</v>
      </c>
      <c r="DP21">
        <v>1</v>
      </c>
      <c r="DQ21" t="s">
        <v>75</v>
      </c>
      <c r="ED21" t="s">
        <v>140</v>
      </c>
      <c r="EE21">
        <v>1</v>
      </c>
      <c r="EF21" t="s">
        <v>75</v>
      </c>
      <c r="ES21" t="s">
        <v>140</v>
      </c>
      <c r="ET21">
        <v>1</v>
      </c>
      <c r="EU21" t="s">
        <v>75</v>
      </c>
      <c r="FH21" t="s">
        <v>140</v>
      </c>
      <c r="FI21">
        <v>1</v>
      </c>
      <c r="FJ21" t="s">
        <v>75</v>
      </c>
      <c r="FW21" t="s">
        <v>140</v>
      </c>
      <c r="FX21">
        <v>1</v>
      </c>
      <c r="FY21" t="s">
        <v>75</v>
      </c>
      <c r="GL21" t="s">
        <v>140</v>
      </c>
      <c r="GM21">
        <v>1</v>
      </c>
      <c r="GN21" t="s">
        <v>75</v>
      </c>
      <c r="HA21" t="s">
        <v>140</v>
      </c>
      <c r="HB21">
        <v>1</v>
      </c>
      <c r="HC21" t="s">
        <v>75</v>
      </c>
      <c r="HD21" s="157" t="s">
        <v>456</v>
      </c>
      <c r="HE21" s="158" t="s">
        <v>422</v>
      </c>
      <c r="HF21" s="159" t="s">
        <v>143</v>
      </c>
    </row>
    <row r="22" spans="1:214" ht="13.5" thickTop="1" x14ac:dyDescent="0.2">
      <c r="A22" t="s">
        <v>186</v>
      </c>
      <c r="B22" s="410">
        <v>50</v>
      </c>
      <c r="C22" t="s">
        <v>45</v>
      </c>
      <c r="D22" t="s">
        <v>452</v>
      </c>
      <c r="E22" s="1">
        <f>(E5*E9*E6)/((E14/E15)*(1-EXP(-E6*E9))*E10*E11)</f>
        <v>1.2422751556906487E-2</v>
      </c>
      <c r="F22" t="s">
        <v>37</v>
      </c>
      <c r="G22" t="s">
        <v>373</v>
      </c>
      <c r="H22" s="427">
        <f>(H29*H32*H23*H70)+(H30*H33*H24*H71)</f>
        <v>16326.153846153848</v>
      </c>
      <c r="I22" t="s">
        <v>213</v>
      </c>
      <c r="J22" t="s">
        <v>127</v>
      </c>
      <c r="K22">
        <f>B37</f>
        <v>100</v>
      </c>
      <c r="L22" t="s">
        <v>90</v>
      </c>
      <c r="M22" t="s">
        <v>485</v>
      </c>
      <c r="N22" s="1">
        <v>1</v>
      </c>
      <c r="P22" t="s">
        <v>485</v>
      </c>
      <c r="Q22" s="1">
        <v>1</v>
      </c>
      <c r="V22" s="88" t="s">
        <v>1</v>
      </c>
      <c r="W22" s="89" t="s">
        <v>5</v>
      </c>
      <c r="X22" s="89" t="s">
        <v>422</v>
      </c>
      <c r="Y22" s="248" t="s">
        <v>1</v>
      </c>
      <c r="Z22" s="89" t="s">
        <v>222</v>
      </c>
      <c r="AA22" s="90" t="s">
        <v>422</v>
      </c>
      <c r="AB22" t="s">
        <v>105</v>
      </c>
      <c r="AC22">
        <v>1</v>
      </c>
      <c r="AD22">
        <v>1</v>
      </c>
      <c r="AE22">
        <v>1</v>
      </c>
      <c r="AF22">
        <v>1</v>
      </c>
      <c r="AG22">
        <v>1</v>
      </c>
      <c r="AI22" t="s">
        <v>458</v>
      </c>
      <c r="AJ22" s="1">
        <v>1</v>
      </c>
      <c r="AK22" t="s">
        <v>459</v>
      </c>
      <c r="AL22" t="s">
        <v>458</v>
      </c>
      <c r="AM22" s="1">
        <v>1</v>
      </c>
      <c r="AN22" t="s">
        <v>459</v>
      </c>
      <c r="AR22" t="s">
        <v>458</v>
      </c>
      <c r="AS22" s="1">
        <v>1</v>
      </c>
      <c r="AT22" t="s">
        <v>459</v>
      </c>
      <c r="AU22" t="s">
        <v>458</v>
      </c>
      <c r="AV22" s="1">
        <v>1</v>
      </c>
      <c r="AW22" t="s">
        <v>459</v>
      </c>
      <c r="BA22" t="s">
        <v>458</v>
      </c>
      <c r="BB22" s="1">
        <v>1</v>
      </c>
      <c r="BC22" t="s">
        <v>459</v>
      </c>
      <c r="BD22" t="s">
        <v>458</v>
      </c>
      <c r="BE22" s="1">
        <v>1</v>
      </c>
      <c r="BF22" t="s">
        <v>459</v>
      </c>
      <c r="BJ22" t="s">
        <v>458</v>
      </c>
      <c r="BK22" s="1">
        <v>1</v>
      </c>
      <c r="BL22" t="s">
        <v>459</v>
      </c>
      <c r="BM22" t="s">
        <v>458</v>
      </c>
      <c r="BN22" s="1">
        <v>1</v>
      </c>
      <c r="BO22" t="s">
        <v>459</v>
      </c>
      <c r="BS22" t="s">
        <v>477</v>
      </c>
      <c r="BT22" s="1" t="e">
        <f>(BT5)/((BT14/24)*(BT8/365)*BT9*BT19*BT20)</f>
        <v>#DIV/0!</v>
      </c>
      <c r="BU22" t="s">
        <v>36</v>
      </c>
      <c r="BV22" t="s">
        <v>401</v>
      </c>
      <c r="BW22">
        <v>1</v>
      </c>
      <c r="BY22" t="s">
        <v>221</v>
      </c>
      <c r="BZ22">
        <v>75</v>
      </c>
      <c r="CA22" t="s">
        <v>52</v>
      </c>
      <c r="CB22" t="s">
        <v>49</v>
      </c>
      <c r="CC22" s="1">
        <f>0.693/CC23</f>
        <v>4.3312499999999997E-4</v>
      </c>
      <c r="CE22" t="s">
        <v>49</v>
      </c>
      <c r="CF22" s="1">
        <f>0.693/CF23</f>
        <v>4.3312499999999997E-4</v>
      </c>
      <c r="CK22" t="s">
        <v>221</v>
      </c>
      <c r="CL22">
        <v>75</v>
      </c>
      <c r="CM22" t="s">
        <v>245</v>
      </c>
      <c r="CN22" t="s">
        <v>54</v>
      </c>
      <c r="CO22">
        <f>CO24</f>
        <v>0.25</v>
      </c>
      <c r="CR22">
        <v>1000</v>
      </c>
      <c r="CS22" t="s">
        <v>213</v>
      </c>
      <c r="CT22" t="s">
        <v>482</v>
      </c>
      <c r="CU22" s="1">
        <f>DY3</f>
        <v>1.0562577551830725</v>
      </c>
      <c r="CV22" t="s">
        <v>22</v>
      </c>
      <c r="CW22" t="s">
        <v>452</v>
      </c>
      <c r="CX22" s="1">
        <f>(CX5*CX9*CX6)/((CX14/CX15)*(1-EXP(-CX6*CX9))*CX10*CX11)</f>
        <v>1.1882584830806163E-2</v>
      </c>
      <c r="CY22" t="s">
        <v>37</v>
      </c>
      <c r="CZ22" t="s">
        <v>483</v>
      </c>
      <c r="DA22" s="1" t="e">
        <f>GD3</f>
        <v>#DIV/0!</v>
      </c>
      <c r="DC22" t="s">
        <v>433</v>
      </c>
      <c r="DD22" s="1">
        <f>B49</f>
        <v>0.15</v>
      </c>
      <c r="DF22" t="s">
        <v>144</v>
      </c>
      <c r="DG22">
        <v>14</v>
      </c>
      <c r="DH22" t="s">
        <v>145</v>
      </c>
      <c r="DO22" t="s">
        <v>144</v>
      </c>
      <c r="DP22">
        <v>14</v>
      </c>
      <c r="DQ22" t="s">
        <v>145</v>
      </c>
      <c r="ED22" t="s">
        <v>144</v>
      </c>
      <c r="EE22">
        <v>14</v>
      </c>
      <c r="EF22" t="s">
        <v>145</v>
      </c>
      <c r="ES22" t="s">
        <v>144</v>
      </c>
      <c r="ET22">
        <v>14</v>
      </c>
      <c r="EU22" t="s">
        <v>145</v>
      </c>
      <c r="FH22" t="s">
        <v>144</v>
      </c>
      <c r="FI22">
        <v>14</v>
      </c>
      <c r="FJ22" t="s">
        <v>145</v>
      </c>
      <c r="FW22" t="s">
        <v>144</v>
      </c>
      <c r="FX22">
        <v>14</v>
      </c>
      <c r="FY22" t="s">
        <v>145</v>
      </c>
      <c r="GL22" t="s">
        <v>144</v>
      </c>
      <c r="GM22">
        <v>14</v>
      </c>
      <c r="GN22" t="s">
        <v>145</v>
      </c>
      <c r="HA22" t="s">
        <v>144</v>
      </c>
      <c r="HB22">
        <v>14</v>
      </c>
      <c r="HC22" t="s">
        <v>145</v>
      </c>
      <c r="HD22" s="160" t="s">
        <v>22</v>
      </c>
      <c r="HE22" s="161" t="s">
        <v>33</v>
      </c>
      <c r="HF22" s="162" t="s">
        <v>35</v>
      </c>
    </row>
    <row r="23" spans="1:214" x14ac:dyDescent="0.2">
      <c r="A23" t="s">
        <v>421</v>
      </c>
      <c r="B23" s="410">
        <v>1E-3</v>
      </c>
      <c r="D23" t="s">
        <v>477</v>
      </c>
      <c r="E23" s="1" t="e">
        <f>(E5*E9*E6)/((E14/E15)*E8*E9*(1-EXP(-E6*E9))*E18*(1/365)*E19)</f>
        <v>#DIV/0!</v>
      </c>
      <c r="F23" t="s">
        <v>37</v>
      </c>
      <c r="G23" t="s">
        <v>374</v>
      </c>
      <c r="H23" s="1">
        <f>B40</f>
        <v>14.8</v>
      </c>
      <c r="I23" t="s">
        <v>380</v>
      </c>
      <c r="J23" t="s">
        <v>223</v>
      </c>
      <c r="K23">
        <f>B33</f>
        <v>10</v>
      </c>
      <c r="L23" t="s">
        <v>78</v>
      </c>
      <c r="M23" t="s">
        <v>58</v>
      </c>
      <c r="N23">
        <v>26</v>
      </c>
      <c r="O23" t="s">
        <v>59</v>
      </c>
      <c r="P23" t="s">
        <v>58</v>
      </c>
      <c r="Q23">
        <v>26</v>
      </c>
      <c r="R23" t="s">
        <v>59</v>
      </c>
      <c r="V23" s="91" t="s">
        <v>18</v>
      </c>
      <c r="W23" s="92" t="s">
        <v>456</v>
      </c>
      <c r="X23" s="92" t="s">
        <v>19</v>
      </c>
      <c r="Y23" s="249" t="s">
        <v>18</v>
      </c>
      <c r="Z23" s="92" t="s">
        <v>456</v>
      </c>
      <c r="AA23" s="93" t="s">
        <v>19</v>
      </c>
      <c r="AB23" t="s">
        <v>460</v>
      </c>
      <c r="AC23" s="1">
        <f>B9</f>
        <v>10.6</v>
      </c>
      <c r="AD23" s="1">
        <f>B9</f>
        <v>10.6</v>
      </c>
      <c r="AE23" s="1">
        <f>B9</f>
        <v>10.6</v>
      </c>
      <c r="AF23" s="1">
        <f>B9</f>
        <v>10.6</v>
      </c>
      <c r="AG23" s="1">
        <f>B9</f>
        <v>10.6</v>
      </c>
      <c r="AH23" t="s">
        <v>449</v>
      </c>
      <c r="AI23" t="s">
        <v>58</v>
      </c>
      <c r="AJ23">
        <v>25</v>
      </c>
      <c r="AK23" t="s">
        <v>59</v>
      </c>
      <c r="AL23" t="s">
        <v>58</v>
      </c>
      <c r="AM23">
        <v>25</v>
      </c>
      <c r="AN23" t="s">
        <v>59</v>
      </c>
      <c r="AR23" t="s">
        <v>58</v>
      </c>
      <c r="AS23">
        <v>25</v>
      </c>
      <c r="AT23" t="s">
        <v>59</v>
      </c>
      <c r="AU23" t="s">
        <v>58</v>
      </c>
      <c r="AV23">
        <v>25</v>
      </c>
      <c r="AW23" t="s">
        <v>59</v>
      </c>
      <c r="BA23" t="s">
        <v>58</v>
      </c>
      <c r="BB23">
        <v>25</v>
      </c>
      <c r="BC23" t="s">
        <v>59</v>
      </c>
      <c r="BD23" t="s">
        <v>58</v>
      </c>
      <c r="BE23">
        <v>25</v>
      </c>
      <c r="BF23" t="s">
        <v>59</v>
      </c>
      <c r="BJ23" t="s">
        <v>58</v>
      </c>
      <c r="BK23">
        <v>1</v>
      </c>
      <c r="BL23" t="s">
        <v>59</v>
      </c>
      <c r="BM23" t="s">
        <v>58</v>
      </c>
      <c r="BN23">
        <v>1</v>
      </c>
      <c r="BO23" t="s">
        <v>59</v>
      </c>
      <c r="BS23" t="s">
        <v>452</v>
      </c>
      <c r="BT23" s="1">
        <f>(BT5*BT28*BT6)/((1-EXP(-BT6*BT28))*BT10*BT11)</f>
        <v>0.82514149165699491</v>
      </c>
      <c r="BU23" t="s">
        <v>37</v>
      </c>
      <c r="BV23" t="s">
        <v>399</v>
      </c>
      <c r="BW23">
        <v>1</v>
      </c>
      <c r="BX23" t="s">
        <v>164</v>
      </c>
      <c r="BY23" t="s">
        <v>73</v>
      </c>
      <c r="BZ23">
        <v>75</v>
      </c>
      <c r="CA23" t="s">
        <v>52</v>
      </c>
      <c r="CB23" t="s">
        <v>411</v>
      </c>
      <c r="CC23" s="1">
        <f>B17</f>
        <v>1600</v>
      </c>
      <c r="CD23" t="s">
        <v>119</v>
      </c>
      <c r="CE23" t="s">
        <v>411</v>
      </c>
      <c r="CF23" s="1">
        <f>B17</f>
        <v>1600</v>
      </c>
      <c r="CG23" t="s">
        <v>119</v>
      </c>
      <c r="CK23" t="s">
        <v>99</v>
      </c>
      <c r="CL23">
        <v>1</v>
      </c>
      <c r="CM23" t="s">
        <v>253</v>
      </c>
      <c r="CN23" t="s">
        <v>64</v>
      </c>
      <c r="CO23" s="1">
        <f>B31</f>
        <v>0.2</v>
      </c>
      <c r="CT23" t="s">
        <v>483</v>
      </c>
      <c r="CU23" s="1" t="e">
        <f>GG3</f>
        <v>#DIV/0!</v>
      </c>
      <c r="CV23" t="s">
        <v>22</v>
      </c>
      <c r="CW23" t="s">
        <v>477</v>
      </c>
      <c r="CX23" s="1" t="e">
        <f>(CX5*CX9*CX6)/((CX14/CX15)*CX8*CX9*(1-EXP(-CX6*CX9))*CX18*(1/365)*CX19)</f>
        <v>#DIV/0!</v>
      </c>
      <c r="CY23" t="s">
        <v>37</v>
      </c>
      <c r="CZ23" t="s">
        <v>484</v>
      </c>
      <c r="DA23" s="1">
        <f>FO3</f>
        <v>0.50275620593996129</v>
      </c>
      <c r="DC23" t="s">
        <v>432</v>
      </c>
      <c r="DD23" s="1">
        <f>B50</f>
        <v>0.85</v>
      </c>
      <c r="DF23" t="s">
        <v>485</v>
      </c>
      <c r="DG23" s="1">
        <f>B21</f>
        <v>584000</v>
      </c>
      <c r="DH23" t="s">
        <v>381</v>
      </c>
      <c r="DO23" t="s">
        <v>46</v>
      </c>
      <c r="DP23">
        <f>DP25</f>
        <v>1E-3</v>
      </c>
      <c r="ED23" t="s">
        <v>46</v>
      </c>
      <c r="EE23">
        <f>EE25</f>
        <v>0</v>
      </c>
      <c r="ES23" t="s">
        <v>46</v>
      </c>
      <c r="ET23">
        <f>ET25</f>
        <v>0</v>
      </c>
      <c r="FH23" t="s">
        <v>46</v>
      </c>
      <c r="FI23">
        <v>0.2</v>
      </c>
      <c r="FW23" t="s">
        <v>46</v>
      </c>
      <c r="FX23">
        <f>FX25</f>
        <v>0.2</v>
      </c>
      <c r="GL23" t="s">
        <v>46</v>
      </c>
      <c r="GM23">
        <f>GM25</f>
        <v>5.0000000000000001E-3</v>
      </c>
      <c r="HA23" t="s">
        <v>46</v>
      </c>
      <c r="HB23">
        <f>HB25</f>
        <v>5.0000000000000001E-3</v>
      </c>
      <c r="HD23" s="302">
        <f>(HE25*HE33*HE38*HE32*10^-3*HE31*HE27)/(HE30*HE41*(1-EXP(-HE27*HE31)))</f>
        <v>0.42220145465862913</v>
      </c>
      <c r="HE23" s="303"/>
      <c r="HF23" s="162" t="s">
        <v>38</v>
      </c>
    </row>
    <row r="24" spans="1:214" ht="13.5" thickBot="1" x14ac:dyDescent="0.25">
      <c r="A24" t="s">
        <v>418</v>
      </c>
      <c r="B24" s="410">
        <v>1E-3</v>
      </c>
      <c r="D24" t="s">
        <v>225</v>
      </c>
      <c r="E24">
        <v>350</v>
      </c>
      <c r="F24" t="s">
        <v>52</v>
      </c>
      <c r="G24" t="s">
        <v>375</v>
      </c>
      <c r="H24" s="1">
        <f>B41</f>
        <v>56.2</v>
      </c>
      <c r="I24" t="s">
        <v>380</v>
      </c>
      <c r="J24" t="s">
        <v>224</v>
      </c>
      <c r="K24">
        <f>B34</f>
        <v>20</v>
      </c>
      <c r="L24" t="s">
        <v>78</v>
      </c>
      <c r="M24" t="s">
        <v>49</v>
      </c>
      <c r="N24" s="1">
        <f>0.693/N25</f>
        <v>4.3312499999999997E-4</v>
      </c>
      <c r="P24" t="s">
        <v>49</v>
      </c>
      <c r="Q24" s="1">
        <f>0.693/Q25</f>
        <v>4.3312499999999997E-4</v>
      </c>
      <c r="V24" s="91" t="s">
        <v>37</v>
      </c>
      <c r="W24" s="94" t="e">
        <f>1/((1/W39)+(1/W40))</f>
        <v>#DIV/0!</v>
      </c>
      <c r="X24" s="127"/>
      <c r="Y24" s="250" t="s">
        <v>37</v>
      </c>
      <c r="Z24" s="94" t="e">
        <f>1/((1/Z37)+(1/Z38))</f>
        <v>#DIV/0!</v>
      </c>
      <c r="AA24" s="95"/>
      <c r="AB24" t="s">
        <v>436</v>
      </c>
      <c r="AC24" s="1">
        <f>B5</f>
        <v>1.2999999999999999E-2</v>
      </c>
      <c r="AD24" s="1">
        <f>B5</f>
        <v>1.2999999999999999E-2</v>
      </c>
      <c r="AE24" s="1">
        <f>B5</f>
        <v>1.2999999999999999E-2</v>
      </c>
      <c r="AF24" s="1">
        <f>B5</f>
        <v>1.2999999999999999E-2</v>
      </c>
      <c r="AG24" s="1">
        <f>B5</f>
        <v>1.2999999999999999E-2</v>
      </c>
      <c r="AH24" t="s">
        <v>448</v>
      </c>
      <c r="AI24" t="s">
        <v>49</v>
      </c>
      <c r="AJ24" s="1">
        <f>0.693/AJ25</f>
        <v>4.3312499999999997E-4</v>
      </c>
      <c r="AL24" t="s">
        <v>49</v>
      </c>
      <c r="AM24" s="1">
        <f>0.693/AM25</f>
        <v>4.3312499999999997E-4</v>
      </c>
      <c r="AR24" t="s">
        <v>49</v>
      </c>
      <c r="AS24" s="1">
        <f>0.693/AS25</f>
        <v>4.3312499999999997E-4</v>
      </c>
      <c r="AU24" t="s">
        <v>49</v>
      </c>
      <c r="AV24" s="1">
        <f>0.693/AV25</f>
        <v>4.3312499999999997E-4</v>
      </c>
      <c r="BA24" t="s">
        <v>49</v>
      </c>
      <c r="BB24" s="1">
        <f>0.693/BB25</f>
        <v>4.3312499999999997E-4</v>
      </c>
      <c r="BD24" t="s">
        <v>49</v>
      </c>
      <c r="BE24" s="1">
        <f>0.693/BE25</f>
        <v>4.3312499999999997E-4</v>
      </c>
      <c r="BJ24" t="s">
        <v>49</v>
      </c>
      <c r="BK24" s="1">
        <f>0.693/BK25</f>
        <v>4.3312499999999997E-4</v>
      </c>
      <c r="BM24" t="s">
        <v>49</v>
      </c>
      <c r="BN24" s="1">
        <f>0.693/BN25</f>
        <v>4.3312499999999997E-4</v>
      </c>
      <c r="BS24" t="s">
        <v>477</v>
      </c>
      <c r="BT24" s="1" t="e">
        <f>(BT5*BT28*BT6)/((BT14/24)*(BT8/365)*BT9*(1-EXP(-BT6*BT28))*BT19*BT20)</f>
        <v>#DIV/0!</v>
      </c>
      <c r="BU24" t="s">
        <v>37</v>
      </c>
      <c r="BV24" t="s">
        <v>398</v>
      </c>
      <c r="BW24">
        <v>1</v>
      </c>
      <c r="BX24" t="s">
        <v>164</v>
      </c>
      <c r="BY24" t="s">
        <v>67</v>
      </c>
      <c r="BZ24">
        <v>75</v>
      </c>
      <c r="CA24" t="s">
        <v>52</v>
      </c>
      <c r="CB24" t="s">
        <v>51</v>
      </c>
      <c r="CC24">
        <v>75</v>
      </c>
      <c r="CD24" t="s">
        <v>60</v>
      </c>
      <c r="CE24" t="s">
        <v>51</v>
      </c>
      <c r="CF24">
        <v>75</v>
      </c>
      <c r="CG24" t="s">
        <v>60</v>
      </c>
      <c r="CK24" t="s">
        <v>304</v>
      </c>
      <c r="CL24" s="17">
        <v>1</v>
      </c>
      <c r="CM24" t="s">
        <v>380</v>
      </c>
      <c r="CN24" t="s">
        <v>311</v>
      </c>
      <c r="CO24" s="17">
        <v>0.25</v>
      </c>
      <c r="CT24" t="s">
        <v>484</v>
      </c>
      <c r="CU24" s="1">
        <f>FR3</f>
        <v>4.1226008887076835E-3</v>
      </c>
      <c r="CV24" t="s">
        <v>22</v>
      </c>
      <c r="CW24" t="s">
        <v>225</v>
      </c>
      <c r="CX24">
        <v>350</v>
      </c>
      <c r="CY24" t="s">
        <v>52</v>
      </c>
      <c r="CZ24" t="s">
        <v>81</v>
      </c>
      <c r="DA24" s="427">
        <f>(DA35*DA37*DA27*DA51)+(DA36*DA38*DA28*DA52)</f>
        <v>784.7</v>
      </c>
      <c r="DB24" t="s">
        <v>180</v>
      </c>
      <c r="DG24">
        <v>1000</v>
      </c>
      <c r="DO24" t="s">
        <v>54</v>
      </c>
      <c r="DP24">
        <f>DP26</f>
        <v>0.26</v>
      </c>
      <c r="ED24" t="s">
        <v>54</v>
      </c>
      <c r="EE24">
        <f>EE26</f>
        <v>0.25</v>
      </c>
      <c r="ES24" t="s">
        <v>54</v>
      </c>
      <c r="ET24">
        <f>ET26</f>
        <v>0.25</v>
      </c>
      <c r="FH24" t="s">
        <v>54</v>
      </c>
      <c r="FI24">
        <v>0.25</v>
      </c>
      <c r="FW24" t="s">
        <v>54</v>
      </c>
      <c r="FX24">
        <f>FX26</f>
        <v>0.25</v>
      </c>
      <c r="GL24" t="s">
        <v>54</v>
      </c>
      <c r="GM24">
        <f>GM26</f>
        <v>0.25</v>
      </c>
      <c r="HA24" t="s">
        <v>54</v>
      </c>
      <c r="HB24">
        <f>HB26</f>
        <v>0.25</v>
      </c>
      <c r="HD24" s="304" t="e">
        <f>(HE26*HE33*HE38*HE32*10^-3*HE31*HE27)/(HE30*HE41*(1-EXP(-HE27*HE31)))</f>
        <v>#DIV/0!</v>
      </c>
      <c r="HE24" s="305"/>
      <c r="HF24" s="306" t="s">
        <v>43</v>
      </c>
    </row>
    <row r="25" spans="1:214" ht="14.25" thickTop="1" thickBot="1" x14ac:dyDescent="0.25">
      <c r="A25" t="s">
        <v>419</v>
      </c>
      <c r="B25" s="410">
        <v>0</v>
      </c>
      <c r="D25" t="s">
        <v>226</v>
      </c>
      <c r="E25">
        <v>350</v>
      </c>
      <c r="F25" t="s">
        <v>52</v>
      </c>
      <c r="G25" t="s">
        <v>372</v>
      </c>
      <c r="H25" s="427">
        <f>(H29*H32*H26*H70)+(H30*H33*H27*H71)</f>
        <v>8513.0769230769238</v>
      </c>
      <c r="I25" t="s">
        <v>213</v>
      </c>
      <c r="J25" t="s">
        <v>373</v>
      </c>
      <c r="K25" s="427">
        <f>(K31*K35*K26*K53)+(K32*K34*K27*K54)</f>
        <v>16326.153846153848</v>
      </c>
      <c r="L25" t="s">
        <v>213</v>
      </c>
      <c r="M25" t="s">
        <v>411</v>
      </c>
      <c r="N25" s="1">
        <f>B17</f>
        <v>1600</v>
      </c>
      <c r="O25" t="s">
        <v>119</v>
      </c>
      <c r="P25" t="s">
        <v>411</v>
      </c>
      <c r="Q25" s="1">
        <f>B17</f>
        <v>1600</v>
      </c>
      <c r="R25" t="s">
        <v>119</v>
      </c>
      <c r="V25" s="130" t="s">
        <v>36</v>
      </c>
      <c r="W25" s="96" t="e">
        <f>1/((1/W37)+(1/W38))</f>
        <v>#DIV/0!</v>
      </c>
      <c r="X25" s="128"/>
      <c r="Y25" s="251" t="s">
        <v>36</v>
      </c>
      <c r="Z25" s="129" t="e">
        <f>1/((1/Z39)+(1/Z40))</f>
        <v>#DIV/0!</v>
      </c>
      <c r="AA25" s="97"/>
      <c r="AC25" s="1"/>
      <c r="AD25" s="1"/>
      <c r="AE25" s="1"/>
      <c r="AI25" t="s">
        <v>411</v>
      </c>
      <c r="AJ25" s="1">
        <f>B17</f>
        <v>1600</v>
      </c>
      <c r="AK25" t="s">
        <v>119</v>
      </c>
      <c r="AL25" t="s">
        <v>411</v>
      </c>
      <c r="AM25" s="1">
        <f>B17</f>
        <v>1600</v>
      </c>
      <c r="AN25" t="s">
        <v>119</v>
      </c>
      <c r="AR25" t="s">
        <v>411</v>
      </c>
      <c r="AS25" s="1">
        <f>B17</f>
        <v>1600</v>
      </c>
      <c r="AT25" t="s">
        <v>119</v>
      </c>
      <c r="AU25" t="s">
        <v>411</v>
      </c>
      <c r="AV25" s="1">
        <f>B17</f>
        <v>1600</v>
      </c>
      <c r="AW25" t="s">
        <v>119</v>
      </c>
      <c r="BA25" t="s">
        <v>411</v>
      </c>
      <c r="BB25" s="1">
        <f>B17</f>
        <v>1600</v>
      </c>
      <c r="BC25" t="s">
        <v>119</v>
      </c>
      <c r="BD25" t="s">
        <v>411</v>
      </c>
      <c r="BE25" s="1">
        <f>B17</f>
        <v>1600</v>
      </c>
      <c r="BF25" t="s">
        <v>119</v>
      </c>
      <c r="BJ25" t="s">
        <v>411</v>
      </c>
      <c r="BK25" s="1">
        <f>B17</f>
        <v>1600</v>
      </c>
      <c r="BL25" t="s">
        <v>119</v>
      </c>
      <c r="BM25" t="s">
        <v>411</v>
      </c>
      <c r="BN25" s="1">
        <f>B17</f>
        <v>1600</v>
      </c>
      <c r="BO25" t="s">
        <v>119</v>
      </c>
      <c r="BS25" t="s">
        <v>225</v>
      </c>
      <c r="BT25">
        <v>75</v>
      </c>
      <c r="BU25" t="s">
        <v>52</v>
      </c>
      <c r="BV25" t="s">
        <v>400</v>
      </c>
      <c r="BW25">
        <v>1</v>
      </c>
      <c r="BX25" t="s">
        <v>80</v>
      </c>
      <c r="BY25" t="s">
        <v>99</v>
      </c>
      <c r="BZ25">
        <v>1</v>
      </c>
      <c r="CA25" t="s">
        <v>119</v>
      </c>
      <c r="CB25" t="s">
        <v>65</v>
      </c>
      <c r="CC25">
        <v>1</v>
      </c>
      <c r="CD25" t="s">
        <v>59</v>
      </c>
      <c r="CE25" t="s">
        <v>65</v>
      </c>
      <c r="CF25">
        <v>1</v>
      </c>
      <c r="CG25" t="s">
        <v>59</v>
      </c>
      <c r="CN25" t="s">
        <v>309</v>
      </c>
      <c r="CO25" s="17">
        <v>1</v>
      </c>
      <c r="CP25" t="s">
        <v>431</v>
      </c>
      <c r="CT25" t="s">
        <v>82</v>
      </c>
      <c r="CU25" s="428">
        <f>(CU27*CU31*CU35*CU49)+(CU28*CU32*CU34*CU50)</f>
        <v>40250</v>
      </c>
      <c r="CV25" t="s">
        <v>406</v>
      </c>
      <c r="CW25" t="s">
        <v>226</v>
      </c>
      <c r="CX25">
        <v>350</v>
      </c>
      <c r="CY25" t="s">
        <v>52</v>
      </c>
      <c r="CZ25" t="s">
        <v>77</v>
      </c>
      <c r="DA25" s="427">
        <f>(DA35*DA37*DA29*(DA40/24)*DA51)+(DA36*DA38*DA30*(DA41/24)*DA52)</f>
        <v>6475</v>
      </c>
      <c r="DB25" t="s">
        <v>407</v>
      </c>
      <c r="DO25" t="s">
        <v>63</v>
      </c>
      <c r="DP25">
        <f>B28</f>
        <v>1E-3</v>
      </c>
      <c r="ED25" t="s">
        <v>64</v>
      </c>
      <c r="EE25">
        <f>B29</f>
        <v>0</v>
      </c>
      <c r="ES25" t="s">
        <v>64</v>
      </c>
      <c r="ET25">
        <f>B29</f>
        <v>0</v>
      </c>
      <c r="FH25" t="s">
        <v>64</v>
      </c>
      <c r="FI25">
        <v>5.0000000000000001E-3</v>
      </c>
      <c r="FW25" t="s">
        <v>64</v>
      </c>
      <c r="FX25">
        <v>0.2</v>
      </c>
      <c r="GL25" t="s">
        <v>64</v>
      </c>
      <c r="GM25">
        <v>5.0000000000000001E-3</v>
      </c>
      <c r="HA25" t="s">
        <v>64</v>
      </c>
      <c r="HB25">
        <v>5.0000000000000001E-3</v>
      </c>
      <c r="HD25" s="2" t="s">
        <v>48</v>
      </c>
      <c r="HE25" s="1">
        <v>15</v>
      </c>
      <c r="HF25" t="s">
        <v>24</v>
      </c>
    </row>
    <row r="26" spans="1:214" ht="13.5" thickTop="1" x14ac:dyDescent="0.2">
      <c r="A26" t="s">
        <v>319</v>
      </c>
      <c r="B26" s="410">
        <v>0</v>
      </c>
      <c r="D26" t="s">
        <v>435</v>
      </c>
      <c r="E26" s="1">
        <f>B47</f>
        <v>0.23076923076923078</v>
      </c>
      <c r="G26" t="s">
        <v>370</v>
      </c>
      <c r="H26" s="1">
        <f>B42</f>
        <v>10.4</v>
      </c>
      <c r="I26" t="s">
        <v>380</v>
      </c>
      <c r="J26" t="s">
        <v>374</v>
      </c>
      <c r="K26" s="1">
        <f>B40</f>
        <v>14.8</v>
      </c>
      <c r="L26" t="s">
        <v>380</v>
      </c>
      <c r="M26" t="s">
        <v>51</v>
      </c>
      <c r="N26">
        <v>350</v>
      </c>
      <c r="O26" t="s">
        <v>60</v>
      </c>
      <c r="P26" t="s">
        <v>51</v>
      </c>
      <c r="Q26">
        <v>350</v>
      </c>
      <c r="R26" t="s">
        <v>60</v>
      </c>
      <c r="V26" t="s">
        <v>458</v>
      </c>
      <c r="W26" s="1">
        <v>1</v>
      </c>
      <c r="X26" t="s">
        <v>459</v>
      </c>
      <c r="Y26" t="s">
        <v>458</v>
      </c>
      <c r="Z26" s="1">
        <v>1</v>
      </c>
      <c r="AA26" t="s">
        <v>459</v>
      </c>
      <c r="AC26" s="1"/>
      <c r="AD26" s="1"/>
      <c r="AE26" s="1"/>
      <c r="AI26" t="s">
        <v>51</v>
      </c>
      <c r="AJ26">
        <v>250</v>
      </c>
      <c r="AK26" t="s">
        <v>60</v>
      </c>
      <c r="AL26" t="s">
        <v>51</v>
      </c>
      <c r="AM26">
        <v>250</v>
      </c>
      <c r="AN26" t="s">
        <v>60</v>
      </c>
      <c r="AR26" t="s">
        <v>51</v>
      </c>
      <c r="AS26">
        <v>225</v>
      </c>
      <c r="AT26" t="s">
        <v>60</v>
      </c>
      <c r="AU26" t="s">
        <v>51</v>
      </c>
      <c r="AV26">
        <v>225</v>
      </c>
      <c r="AW26" t="s">
        <v>60</v>
      </c>
      <c r="BA26" t="s">
        <v>51</v>
      </c>
      <c r="BB26">
        <v>250</v>
      </c>
      <c r="BC26" t="s">
        <v>60</v>
      </c>
      <c r="BD26" t="s">
        <v>51</v>
      </c>
      <c r="BE26">
        <v>250</v>
      </c>
      <c r="BF26" t="s">
        <v>60</v>
      </c>
      <c r="BJ26" t="s">
        <v>51</v>
      </c>
      <c r="BK26">
        <f>BK27*BK28</f>
        <v>250</v>
      </c>
      <c r="BL26" t="s">
        <v>60</v>
      </c>
      <c r="BM26" t="s">
        <v>51</v>
      </c>
      <c r="BN26">
        <f>BN27*BN28</f>
        <v>250</v>
      </c>
      <c r="BO26" t="s">
        <v>60</v>
      </c>
      <c r="BS26" t="s">
        <v>226</v>
      </c>
      <c r="BT26">
        <v>75</v>
      </c>
      <c r="BU26" t="s">
        <v>52</v>
      </c>
      <c r="BV26" t="s">
        <v>151</v>
      </c>
      <c r="BW26">
        <v>1</v>
      </c>
      <c r="BX26" t="s">
        <v>152</v>
      </c>
      <c r="BY26" t="s">
        <v>98</v>
      </c>
      <c r="BZ26">
        <v>1</v>
      </c>
      <c r="CA26" t="s">
        <v>119</v>
      </c>
      <c r="CB26" t="s">
        <v>463</v>
      </c>
      <c r="CC26">
        <v>3.44E-2</v>
      </c>
      <c r="CE26" t="s">
        <v>463</v>
      </c>
      <c r="CF26">
        <v>6.8599999999999994E-2</v>
      </c>
      <c r="CN26" t="s">
        <v>312</v>
      </c>
      <c r="CO26" s="17">
        <v>1</v>
      </c>
      <c r="CP26" t="s">
        <v>431</v>
      </c>
      <c r="CT26" t="s">
        <v>77</v>
      </c>
      <c r="CU26" s="428">
        <f>((CU35*CU31*CU29*CU49)+(CU34*CU32*CU30*CU50))</f>
        <v>6475</v>
      </c>
      <c r="CV26" t="s">
        <v>407</v>
      </c>
      <c r="CW26" t="s">
        <v>433</v>
      </c>
      <c r="CX26" s="1">
        <f>B49</f>
        <v>0.15</v>
      </c>
      <c r="CZ26" t="s">
        <v>240</v>
      </c>
      <c r="DA26" s="427">
        <f>(DA35*DA37*DA42*DA44*DA51)+(DA36*DA38*DA43*DA45*DA52)</f>
        <v>239.57499999999999</v>
      </c>
      <c r="DB26" t="s">
        <v>408</v>
      </c>
      <c r="DF26" t="s">
        <v>64</v>
      </c>
      <c r="DG26">
        <f>B29</f>
        <v>0</v>
      </c>
      <c r="DO26" t="s">
        <v>70</v>
      </c>
      <c r="DP26">
        <v>0.26</v>
      </c>
      <c r="ED26" t="s">
        <v>70</v>
      </c>
      <c r="EE26">
        <v>0.25</v>
      </c>
      <c r="EJ26" t="s">
        <v>64</v>
      </c>
      <c r="EK26">
        <v>0.04</v>
      </c>
      <c r="ES26" t="s">
        <v>70</v>
      </c>
      <c r="ET26">
        <v>0.25</v>
      </c>
      <c r="FH26" t="s">
        <v>290</v>
      </c>
      <c r="FI26">
        <v>0.25</v>
      </c>
      <c r="FW26" t="s">
        <v>285</v>
      </c>
      <c r="FX26">
        <v>0.25</v>
      </c>
      <c r="GL26" t="s">
        <v>279</v>
      </c>
      <c r="GM26">
        <v>0.25</v>
      </c>
      <c r="HA26" t="s">
        <v>284</v>
      </c>
      <c r="HB26">
        <v>0.25</v>
      </c>
      <c r="HD26" t="s">
        <v>456</v>
      </c>
      <c r="HE26" s="1" t="e">
        <f>H3</f>
        <v>#DIV/0!</v>
      </c>
      <c r="HF26" t="s">
        <v>24</v>
      </c>
    </row>
    <row r="27" spans="1:214" ht="12.75" customHeight="1" x14ac:dyDescent="0.2">
      <c r="A27" t="s">
        <v>420</v>
      </c>
      <c r="B27" s="410">
        <v>0</v>
      </c>
      <c r="D27" t="s">
        <v>434</v>
      </c>
      <c r="E27" s="1">
        <f>B48</f>
        <v>0.76923076923076927</v>
      </c>
      <c r="G27" t="s">
        <v>371</v>
      </c>
      <c r="H27" s="1">
        <f>B43</f>
        <v>28.5</v>
      </c>
      <c r="I27" t="s">
        <v>380</v>
      </c>
      <c r="J27" t="s">
        <v>375</v>
      </c>
      <c r="K27" s="1">
        <f>B41</f>
        <v>56.2</v>
      </c>
      <c r="L27" t="s">
        <v>380</v>
      </c>
      <c r="M27" t="s">
        <v>65</v>
      </c>
      <c r="N27">
        <v>1</v>
      </c>
      <c r="O27" t="s">
        <v>59</v>
      </c>
      <c r="P27" t="s">
        <v>65</v>
      </c>
      <c r="Q27">
        <v>1</v>
      </c>
      <c r="R27" t="s">
        <v>59</v>
      </c>
      <c r="V27" t="s">
        <v>49</v>
      </c>
      <c r="W27" s="1">
        <f>0.693/W28</f>
        <v>4.3312499999999997E-4</v>
      </c>
      <c r="Y27" t="s">
        <v>49</v>
      </c>
      <c r="Z27" s="1">
        <f>0.693/Z28</f>
        <v>4.3312499999999997E-4</v>
      </c>
      <c r="AB27" t="s">
        <v>65</v>
      </c>
      <c r="AC27">
        <v>25</v>
      </c>
      <c r="AD27">
        <v>25</v>
      </c>
      <c r="AE27">
        <v>25</v>
      </c>
      <c r="AF27">
        <v>1</v>
      </c>
      <c r="AG27">
        <v>1</v>
      </c>
      <c r="AH27" t="s">
        <v>119</v>
      </c>
      <c r="AI27" t="s">
        <v>65</v>
      </c>
      <c r="AJ27">
        <v>1</v>
      </c>
      <c r="AK27" t="s">
        <v>59</v>
      </c>
      <c r="AL27" t="s">
        <v>65</v>
      </c>
      <c r="AM27">
        <v>1</v>
      </c>
      <c r="AN27" t="s">
        <v>59</v>
      </c>
      <c r="AR27" t="s">
        <v>65</v>
      </c>
      <c r="AS27">
        <v>1</v>
      </c>
      <c r="AT27" t="s">
        <v>59</v>
      </c>
      <c r="AU27" t="s">
        <v>65</v>
      </c>
      <c r="AV27">
        <v>1</v>
      </c>
      <c r="AW27" t="s">
        <v>59</v>
      </c>
      <c r="BA27" t="s">
        <v>65</v>
      </c>
      <c r="BB27">
        <v>1</v>
      </c>
      <c r="BC27" t="s">
        <v>59</v>
      </c>
      <c r="BD27" t="s">
        <v>65</v>
      </c>
      <c r="BE27">
        <v>1</v>
      </c>
      <c r="BF27" t="s">
        <v>59</v>
      </c>
      <c r="BJ27" t="s">
        <v>378</v>
      </c>
      <c r="BK27">
        <v>50</v>
      </c>
      <c r="BL27" t="s">
        <v>389</v>
      </c>
      <c r="BM27" t="s">
        <v>378</v>
      </c>
      <c r="BN27">
        <v>50</v>
      </c>
      <c r="BO27" t="s">
        <v>389</v>
      </c>
      <c r="BS27" t="s">
        <v>221</v>
      </c>
      <c r="BT27">
        <v>75</v>
      </c>
      <c r="BU27" t="s">
        <v>52</v>
      </c>
      <c r="BV27" t="s">
        <v>153</v>
      </c>
      <c r="BW27">
        <v>1</v>
      </c>
      <c r="BX27" t="s">
        <v>152</v>
      </c>
      <c r="BY27" t="s">
        <v>83</v>
      </c>
      <c r="BZ27">
        <v>1</v>
      </c>
      <c r="CA27" t="s">
        <v>119</v>
      </c>
      <c r="CB27" t="s">
        <v>105</v>
      </c>
      <c r="CC27">
        <v>0.45600000000000002</v>
      </c>
      <c r="CE27" t="s">
        <v>105</v>
      </c>
      <c r="CF27">
        <v>0.73699999999999999</v>
      </c>
      <c r="CN27" t="s">
        <v>313</v>
      </c>
      <c r="CO27" s="17">
        <v>1</v>
      </c>
      <c r="CP27" t="s">
        <v>75</v>
      </c>
      <c r="CT27" t="s">
        <v>108</v>
      </c>
      <c r="CU27">
        <f>B36</f>
        <v>200</v>
      </c>
      <c r="CV27" t="s">
        <v>90</v>
      </c>
      <c r="CW27" t="s">
        <v>432</v>
      </c>
      <c r="CX27" s="1">
        <f>B50</f>
        <v>0.85</v>
      </c>
      <c r="CZ27" t="s">
        <v>97</v>
      </c>
      <c r="DA27">
        <f>B38</f>
        <v>0.78</v>
      </c>
      <c r="DB27" t="s">
        <v>56</v>
      </c>
      <c r="EB27" s="1"/>
      <c r="ED27" t="s">
        <v>317</v>
      </c>
      <c r="EE27" s="1">
        <f>B23</f>
        <v>1E-3</v>
      </c>
      <c r="EQ27" s="1"/>
      <c r="ES27" t="s">
        <v>318</v>
      </c>
      <c r="ET27" s="1">
        <f>B24</f>
        <v>1E-3</v>
      </c>
      <c r="FH27" t="s">
        <v>319</v>
      </c>
      <c r="FI27" s="406">
        <f>B26</f>
        <v>0</v>
      </c>
      <c r="FW27" t="s">
        <v>320</v>
      </c>
      <c r="FX27" s="17">
        <v>1</v>
      </c>
      <c r="GL27" t="s">
        <v>321</v>
      </c>
      <c r="GM27" s="406">
        <f>B25</f>
        <v>0</v>
      </c>
      <c r="HA27" t="s">
        <v>322</v>
      </c>
      <c r="HB27" s="406">
        <f>B27</f>
        <v>0</v>
      </c>
      <c r="HD27" t="s">
        <v>49</v>
      </c>
      <c r="HE27" s="1">
        <f>0.693/HE28</f>
        <v>4.3312499999999997E-4</v>
      </c>
    </row>
    <row r="28" spans="1:214" ht="15" thickBot="1" x14ac:dyDescent="0.25">
      <c r="A28" t="s">
        <v>396</v>
      </c>
      <c r="B28" s="410">
        <f>B24</f>
        <v>1E-3</v>
      </c>
      <c r="G28" t="s">
        <v>131</v>
      </c>
      <c r="H28">
        <v>0.5</v>
      </c>
      <c r="I28" t="s">
        <v>132</v>
      </c>
      <c r="J28" t="s">
        <v>372</v>
      </c>
      <c r="K28" s="427">
        <f>(K31*K35*K29*K53)+(K32*K34*K30*K54)</f>
        <v>8513.0769230769238</v>
      </c>
      <c r="L28" t="s">
        <v>213</v>
      </c>
      <c r="M28" t="s">
        <v>462</v>
      </c>
      <c r="N28">
        <v>0.4</v>
      </c>
      <c r="P28" t="s">
        <v>462</v>
      </c>
      <c r="Q28">
        <v>0.4</v>
      </c>
      <c r="V28" t="s">
        <v>411</v>
      </c>
      <c r="W28" s="1">
        <f>B17</f>
        <v>1600</v>
      </c>
      <c r="X28" t="s">
        <v>119</v>
      </c>
      <c r="Y28" t="s">
        <v>411</v>
      </c>
      <c r="Z28" s="1">
        <f>B17</f>
        <v>1600</v>
      </c>
      <c r="AA28" t="s">
        <v>119</v>
      </c>
      <c r="AB28" t="s">
        <v>155</v>
      </c>
      <c r="AC28" s="1">
        <f t="shared" ref="AC28:AF29" si="0">8/24</f>
        <v>0.33333333333333331</v>
      </c>
      <c r="AD28" s="1">
        <f t="shared" si="0"/>
        <v>0.33333333333333331</v>
      </c>
      <c r="AE28" s="1">
        <f t="shared" si="0"/>
        <v>0.33333333333333331</v>
      </c>
      <c r="AF28" s="1">
        <f t="shared" si="0"/>
        <v>0.33333333333333331</v>
      </c>
      <c r="AG28" s="1">
        <f>8/24</f>
        <v>0.33333333333333331</v>
      </c>
      <c r="AI28" t="s">
        <v>462</v>
      </c>
      <c r="AJ28">
        <v>0.4</v>
      </c>
      <c r="AL28" t="s">
        <v>462</v>
      </c>
      <c r="AM28">
        <v>0.4</v>
      </c>
      <c r="AR28" t="s">
        <v>462</v>
      </c>
      <c r="AS28">
        <v>0.4</v>
      </c>
      <c r="BA28" t="s">
        <v>462</v>
      </c>
      <c r="BB28">
        <v>0.4</v>
      </c>
      <c r="BJ28" t="s">
        <v>377</v>
      </c>
      <c r="BK28">
        <v>5</v>
      </c>
      <c r="BL28" t="s">
        <v>390</v>
      </c>
      <c r="BM28" t="s">
        <v>377</v>
      </c>
      <c r="BN28">
        <v>5</v>
      </c>
      <c r="BO28" t="s">
        <v>390</v>
      </c>
      <c r="BS28" t="s">
        <v>174</v>
      </c>
      <c r="BT28">
        <v>26</v>
      </c>
      <c r="BU28" t="s">
        <v>119</v>
      </c>
      <c r="BW28">
        <f>1/1000</f>
        <v>1E-3</v>
      </c>
      <c r="BX28" t="s">
        <v>154</v>
      </c>
      <c r="BY28" t="s">
        <v>166</v>
      </c>
      <c r="BZ28">
        <v>1</v>
      </c>
      <c r="CA28" t="s">
        <v>80</v>
      </c>
      <c r="CB28" t="s">
        <v>166</v>
      </c>
      <c r="CC28">
        <v>1</v>
      </c>
      <c r="CD28" t="s">
        <v>117</v>
      </c>
      <c r="CE28" t="s">
        <v>166</v>
      </c>
      <c r="CF28">
        <v>1</v>
      </c>
      <c r="CG28" t="s">
        <v>117</v>
      </c>
      <c r="CN28" t="s">
        <v>314</v>
      </c>
      <c r="CO28" s="17">
        <v>1</v>
      </c>
      <c r="CP28" t="s">
        <v>75</v>
      </c>
      <c r="CT28" t="s">
        <v>127</v>
      </c>
      <c r="CU28">
        <f>B37</f>
        <v>100</v>
      </c>
      <c r="CV28" t="s">
        <v>90</v>
      </c>
      <c r="CZ28" t="s">
        <v>123</v>
      </c>
      <c r="DA28">
        <f>B39</f>
        <v>2.5</v>
      </c>
      <c r="DB28" t="s">
        <v>56</v>
      </c>
      <c r="FW28" t="s">
        <v>186</v>
      </c>
      <c r="FX28" s="1">
        <v>30</v>
      </c>
      <c r="HD28" t="s">
        <v>411</v>
      </c>
      <c r="HE28" s="1">
        <f>B17</f>
        <v>1600</v>
      </c>
      <c r="HF28" t="s">
        <v>119</v>
      </c>
    </row>
    <row r="29" spans="1:214" ht="15.75" thickTop="1" x14ac:dyDescent="0.2">
      <c r="A29" t="s">
        <v>395</v>
      </c>
      <c r="B29" s="410">
        <f>B25</f>
        <v>0</v>
      </c>
      <c r="D29" s="103" t="s">
        <v>3</v>
      </c>
      <c r="E29" s="104"/>
      <c r="F29" s="105" t="s">
        <v>422</v>
      </c>
      <c r="G29" t="s">
        <v>67</v>
      </c>
      <c r="H29">
        <v>350</v>
      </c>
      <c r="I29" t="s">
        <v>52</v>
      </c>
      <c r="J29" t="s">
        <v>370</v>
      </c>
      <c r="K29" s="1">
        <f>B42</f>
        <v>10.4</v>
      </c>
      <c r="L29" t="s">
        <v>380</v>
      </c>
      <c r="M29" t="s">
        <v>463</v>
      </c>
      <c r="N29">
        <v>1</v>
      </c>
      <c r="P29" t="s">
        <v>463</v>
      </c>
      <c r="Q29">
        <v>1</v>
      </c>
      <c r="V29" t="s">
        <v>51</v>
      </c>
      <c r="W29">
        <v>250</v>
      </c>
      <c r="X29" t="s">
        <v>60</v>
      </c>
      <c r="Y29" t="s">
        <v>51</v>
      </c>
      <c r="Z29">
        <f>Z41*Z42</f>
        <v>250</v>
      </c>
      <c r="AA29" t="s">
        <v>60</v>
      </c>
      <c r="AB29" t="s">
        <v>158</v>
      </c>
      <c r="AC29" s="1">
        <f t="shared" si="0"/>
        <v>0.33333333333333331</v>
      </c>
      <c r="AD29" s="1">
        <f t="shared" si="0"/>
        <v>0.33333333333333331</v>
      </c>
      <c r="AE29" s="1">
        <f t="shared" si="0"/>
        <v>0.33333333333333331</v>
      </c>
      <c r="AF29" s="1">
        <f t="shared" si="0"/>
        <v>0.33333333333333331</v>
      </c>
      <c r="AG29" s="1">
        <f>8/24</f>
        <v>0.33333333333333331</v>
      </c>
      <c r="AI29" t="s">
        <v>463</v>
      </c>
      <c r="AJ29">
        <v>1</v>
      </c>
      <c r="AL29" t="s">
        <v>463</v>
      </c>
      <c r="AM29">
        <v>1</v>
      </c>
      <c r="AR29" t="s">
        <v>463</v>
      </c>
      <c r="AS29">
        <v>1</v>
      </c>
      <c r="AU29" t="s">
        <v>462</v>
      </c>
      <c r="AV29">
        <v>1</v>
      </c>
      <c r="BA29" t="s">
        <v>463</v>
      </c>
      <c r="BB29">
        <v>1</v>
      </c>
      <c r="BD29" t="s">
        <v>463</v>
      </c>
      <c r="BE29">
        <v>1</v>
      </c>
      <c r="BJ29" t="s">
        <v>65</v>
      </c>
      <c r="BK29">
        <v>1</v>
      </c>
      <c r="BL29" t="s">
        <v>59</v>
      </c>
      <c r="BM29" t="s">
        <v>65</v>
      </c>
      <c r="BN29">
        <v>1</v>
      </c>
      <c r="BO29" t="s">
        <v>59</v>
      </c>
      <c r="BS29" t="s">
        <v>473</v>
      </c>
      <c r="BT29">
        <f>BT14/BT16</f>
        <v>1</v>
      </c>
      <c r="BU29" s="2"/>
      <c r="BW29">
        <v>1000</v>
      </c>
      <c r="BX29" t="s">
        <v>157</v>
      </c>
      <c r="BY29" t="s">
        <v>238</v>
      </c>
      <c r="BZ29">
        <v>1</v>
      </c>
      <c r="CA29" t="s">
        <v>80</v>
      </c>
      <c r="CB29" t="s">
        <v>460</v>
      </c>
      <c r="CC29" s="1">
        <f>B10</f>
        <v>0</v>
      </c>
      <c r="CD29" t="s">
        <v>121</v>
      </c>
      <c r="CE29" t="s">
        <v>460</v>
      </c>
      <c r="CF29" s="1">
        <f>B12</f>
        <v>0</v>
      </c>
      <c r="CG29" t="s">
        <v>121</v>
      </c>
      <c r="CT29" t="s">
        <v>223</v>
      </c>
      <c r="CU29">
        <f>B33</f>
        <v>10</v>
      </c>
      <c r="CV29" t="s">
        <v>78</v>
      </c>
      <c r="CZ29" t="s">
        <v>223</v>
      </c>
      <c r="DA29">
        <f>B33</f>
        <v>10</v>
      </c>
      <c r="DB29" t="s">
        <v>241</v>
      </c>
      <c r="FW29" t="s">
        <v>296</v>
      </c>
      <c r="FX29" s="1">
        <v>8.1999999999999993</v>
      </c>
      <c r="HD29" t="s">
        <v>156</v>
      </c>
      <c r="HE29">
        <v>0.3</v>
      </c>
    </row>
    <row r="30" spans="1:214" ht="15" x14ac:dyDescent="0.2">
      <c r="A30" t="s">
        <v>63</v>
      </c>
      <c r="B30" s="410">
        <v>0.04</v>
      </c>
      <c r="D30" s="106" t="s">
        <v>150</v>
      </c>
      <c r="E30" s="107" t="s">
        <v>456</v>
      </c>
      <c r="F30" s="108" t="s">
        <v>22</v>
      </c>
      <c r="G30" t="s">
        <v>73</v>
      </c>
      <c r="H30">
        <v>350</v>
      </c>
      <c r="I30" t="s">
        <v>52</v>
      </c>
      <c r="J30" t="s">
        <v>371</v>
      </c>
      <c r="K30" s="1">
        <f>B43</f>
        <v>28.5</v>
      </c>
      <c r="L30" t="s">
        <v>380</v>
      </c>
      <c r="M30" t="s">
        <v>105</v>
      </c>
      <c r="N30">
        <v>1</v>
      </c>
      <c r="P30" t="s">
        <v>105</v>
      </c>
      <c r="Q30">
        <v>1</v>
      </c>
      <c r="V30" t="s">
        <v>65</v>
      </c>
      <c r="W30">
        <v>1</v>
      </c>
      <c r="X30" t="s">
        <v>59</v>
      </c>
      <c r="Y30" t="s">
        <v>65</v>
      </c>
      <c r="Z30">
        <v>1</v>
      </c>
      <c r="AA30" t="s">
        <v>59</v>
      </c>
      <c r="AB30" t="s">
        <v>161</v>
      </c>
      <c r="AC30">
        <v>0.4</v>
      </c>
      <c r="AD30">
        <v>0.4</v>
      </c>
      <c r="AE30">
        <v>0.4</v>
      </c>
      <c r="AF30">
        <v>0.4</v>
      </c>
      <c r="AG30">
        <v>0.4</v>
      </c>
      <c r="AI30" t="s">
        <v>105</v>
      </c>
      <c r="AJ30">
        <f>N30</f>
        <v>1</v>
      </c>
      <c r="AL30" t="s">
        <v>105</v>
      </c>
      <c r="AM30">
        <f>Q30</f>
        <v>1</v>
      </c>
      <c r="AR30" t="s">
        <v>105</v>
      </c>
      <c r="AS30">
        <f>AJ30</f>
        <v>1</v>
      </c>
      <c r="AU30" t="s">
        <v>105</v>
      </c>
      <c r="AV30">
        <f>AM30</f>
        <v>1</v>
      </c>
      <c r="BA30" t="s">
        <v>105</v>
      </c>
      <c r="BB30">
        <f>AS30</f>
        <v>1</v>
      </c>
      <c r="BD30" t="s">
        <v>105</v>
      </c>
      <c r="BE30">
        <f>AV30</f>
        <v>1</v>
      </c>
      <c r="BS30" t="s">
        <v>474</v>
      </c>
      <c r="BT30">
        <f>BT15/BT16</f>
        <v>1</v>
      </c>
      <c r="BW30">
        <v>1000</v>
      </c>
      <c r="BX30" t="s">
        <v>376</v>
      </c>
      <c r="BY30" t="s">
        <v>239</v>
      </c>
      <c r="BZ30">
        <v>1</v>
      </c>
      <c r="CA30" t="s">
        <v>80</v>
      </c>
      <c r="CT30" t="s">
        <v>224</v>
      </c>
      <c r="CU30">
        <f>B34</f>
        <v>20</v>
      </c>
      <c r="CV30" t="s">
        <v>78</v>
      </c>
      <c r="CZ30" t="s">
        <v>224</v>
      </c>
      <c r="DA30">
        <f>B34</f>
        <v>20</v>
      </c>
      <c r="DB30" t="s">
        <v>241</v>
      </c>
      <c r="FX30">
        <v>1000</v>
      </c>
      <c r="FY30" t="s">
        <v>213</v>
      </c>
      <c r="HD30" t="s">
        <v>159</v>
      </c>
      <c r="HE30" s="1">
        <v>1.5</v>
      </c>
    </row>
    <row r="31" spans="1:214" x14ac:dyDescent="0.2">
      <c r="A31" t="s">
        <v>64</v>
      </c>
      <c r="B31" s="410">
        <v>0.2</v>
      </c>
      <c r="D31" s="106" t="s">
        <v>150</v>
      </c>
      <c r="E31" s="109">
        <f>E38</f>
        <v>5.0875050875050877E-2</v>
      </c>
      <c r="F31" s="110"/>
      <c r="G31" t="s">
        <v>100</v>
      </c>
      <c r="H31">
        <v>1</v>
      </c>
      <c r="I31" t="s">
        <v>119</v>
      </c>
      <c r="J31" t="s">
        <v>67</v>
      </c>
      <c r="K31">
        <v>350</v>
      </c>
      <c r="L31" t="s">
        <v>52</v>
      </c>
      <c r="M31" t="s">
        <v>114</v>
      </c>
      <c r="N31">
        <v>7.2999999999999995E-2</v>
      </c>
      <c r="O31" t="s">
        <v>115</v>
      </c>
      <c r="P31" t="s">
        <v>114</v>
      </c>
      <c r="Q31">
        <v>7.2999999999999995E-2</v>
      </c>
      <c r="R31" t="s">
        <v>115</v>
      </c>
      <c r="V31" t="s">
        <v>436</v>
      </c>
      <c r="W31" s="1">
        <f>B5</f>
        <v>1.2999999999999999E-2</v>
      </c>
      <c r="X31" t="s">
        <v>72</v>
      </c>
      <c r="Y31" t="s">
        <v>436</v>
      </c>
      <c r="Z31" s="1">
        <f>B5</f>
        <v>1.2999999999999999E-2</v>
      </c>
      <c r="AA31" t="s">
        <v>72</v>
      </c>
      <c r="AB31" t="s">
        <v>144</v>
      </c>
      <c r="AC31">
        <v>25</v>
      </c>
      <c r="AD31">
        <v>25</v>
      </c>
      <c r="AE31">
        <v>25</v>
      </c>
      <c r="AF31">
        <v>1</v>
      </c>
      <c r="AG31">
        <v>1</v>
      </c>
      <c r="AH31" t="s">
        <v>88</v>
      </c>
      <c r="AI31" t="s">
        <v>114</v>
      </c>
      <c r="AJ31">
        <v>0</v>
      </c>
      <c r="AK31" t="s">
        <v>115</v>
      </c>
      <c r="AL31" t="s">
        <v>114</v>
      </c>
      <c r="AM31">
        <v>0</v>
      </c>
      <c r="AN31" t="s">
        <v>115</v>
      </c>
      <c r="AR31" t="s">
        <v>116</v>
      </c>
      <c r="AS31">
        <f>8/24</f>
        <v>0.33333333333333331</v>
      </c>
      <c r="AT31" t="s">
        <v>117</v>
      </c>
      <c r="AU31" t="s">
        <v>114</v>
      </c>
      <c r="AV31">
        <f>8/24</f>
        <v>0.33333333333333331</v>
      </c>
      <c r="AW31" t="s">
        <v>115</v>
      </c>
      <c r="BA31" t="s">
        <v>116</v>
      </c>
      <c r="BB31">
        <f>8/24</f>
        <v>0.33333333333333331</v>
      </c>
      <c r="BC31" t="s">
        <v>117</v>
      </c>
      <c r="BD31" t="s">
        <v>114</v>
      </c>
      <c r="BE31">
        <f>8/24</f>
        <v>0.33333333333333331</v>
      </c>
      <c r="BF31" t="s">
        <v>115</v>
      </c>
      <c r="BJ31" t="s">
        <v>463</v>
      </c>
      <c r="BK31">
        <v>1.5699999999999999E-5</v>
      </c>
      <c r="BM31" t="s">
        <v>463</v>
      </c>
      <c r="BN31">
        <v>1.35E-4</v>
      </c>
      <c r="BW31">
        <v>365</v>
      </c>
      <c r="BX31" t="s">
        <v>52</v>
      </c>
      <c r="BY31" t="s">
        <v>465</v>
      </c>
      <c r="BZ31" s="1">
        <v>2.41E-4</v>
      </c>
      <c r="CT31" t="s">
        <v>67</v>
      </c>
      <c r="CU31">
        <v>350</v>
      </c>
      <c r="CV31" t="s">
        <v>52</v>
      </c>
      <c r="CZ31" t="s">
        <v>242</v>
      </c>
      <c r="DA31" s="1">
        <f>B40</f>
        <v>14.8</v>
      </c>
      <c r="DB31" t="s">
        <v>380</v>
      </c>
      <c r="HD31" t="s">
        <v>58</v>
      </c>
      <c r="HE31">
        <v>26</v>
      </c>
    </row>
    <row r="32" spans="1:214" ht="13.5" thickBot="1" x14ac:dyDescent="0.25">
      <c r="D32" s="111"/>
      <c r="E32" s="112" t="s">
        <v>33</v>
      </c>
      <c r="F32" s="113"/>
      <c r="G32" t="s">
        <v>83</v>
      </c>
      <c r="H32">
        <v>1</v>
      </c>
      <c r="J32" t="s">
        <v>73</v>
      </c>
      <c r="K32">
        <v>350</v>
      </c>
      <c r="L32" t="s">
        <v>52</v>
      </c>
      <c r="M32" t="s">
        <v>460</v>
      </c>
      <c r="N32" s="1">
        <f>B10</f>
        <v>0</v>
      </c>
      <c r="O32" t="s">
        <v>430</v>
      </c>
      <c r="P32" t="s">
        <v>460</v>
      </c>
      <c r="Q32" s="1">
        <f>B12</f>
        <v>0</v>
      </c>
      <c r="R32" t="s">
        <v>121</v>
      </c>
      <c r="V32" t="s">
        <v>79</v>
      </c>
      <c r="W32">
        <v>8</v>
      </c>
      <c r="X32" t="s">
        <v>80</v>
      </c>
      <c r="Y32" t="s">
        <v>79</v>
      </c>
      <c r="Z32">
        <v>8</v>
      </c>
      <c r="AA32" t="s">
        <v>80</v>
      </c>
      <c r="AB32" t="s">
        <v>49</v>
      </c>
      <c r="AC32" s="1">
        <f>0.693/AC33</f>
        <v>4.3312499999999997E-4</v>
      </c>
      <c r="AD32" s="1">
        <f>0.693/AD33</f>
        <v>4.3312499999999997E-4</v>
      </c>
      <c r="AE32" s="1">
        <f>0.693/AE33</f>
        <v>4.3312499999999997E-4</v>
      </c>
      <c r="AF32" s="1">
        <f>0.693/AF33</f>
        <v>4.3312499999999997E-4</v>
      </c>
      <c r="AG32" s="1">
        <f>0.693/AG33</f>
        <v>4.3312499999999997E-4</v>
      </c>
      <c r="AI32" t="s">
        <v>460</v>
      </c>
      <c r="AJ32" s="1">
        <f>B10</f>
        <v>0</v>
      </c>
      <c r="AK32" t="s">
        <v>121</v>
      </c>
      <c r="AL32" t="s">
        <v>460</v>
      </c>
      <c r="AM32" s="1">
        <f>B12</f>
        <v>0</v>
      </c>
      <c r="AN32" t="s">
        <v>121</v>
      </c>
      <c r="AR32" t="s">
        <v>460</v>
      </c>
      <c r="AS32" s="1">
        <f>B10</f>
        <v>0</v>
      </c>
      <c r="AT32" t="s">
        <v>121</v>
      </c>
      <c r="AU32" t="s">
        <v>460</v>
      </c>
      <c r="AV32" s="1">
        <f>B12</f>
        <v>0</v>
      </c>
      <c r="AW32" t="s">
        <v>121</v>
      </c>
      <c r="BA32" t="s">
        <v>460</v>
      </c>
      <c r="BB32" s="1">
        <f>B10</f>
        <v>0</v>
      </c>
      <c r="BC32" t="s">
        <v>121</v>
      </c>
      <c r="BD32" t="s">
        <v>460</v>
      </c>
      <c r="BE32" s="1">
        <f>B12</f>
        <v>0</v>
      </c>
      <c r="BF32" t="s">
        <v>121</v>
      </c>
      <c r="BJ32" t="s">
        <v>105</v>
      </c>
      <c r="BK32">
        <v>0.80900000000000005</v>
      </c>
      <c r="BM32" t="s">
        <v>105</v>
      </c>
      <c r="BN32">
        <v>0.71099999999999997</v>
      </c>
      <c r="BT32" s="1"/>
      <c r="BW32">
        <v>8760</v>
      </c>
      <c r="BX32" t="s">
        <v>237</v>
      </c>
      <c r="BY32" t="s">
        <v>105</v>
      </c>
      <c r="BZ32">
        <v>0.753</v>
      </c>
      <c r="CT32" t="s">
        <v>73</v>
      </c>
      <c r="CU32">
        <v>350</v>
      </c>
      <c r="CV32" t="s">
        <v>52</v>
      </c>
      <c r="CZ32" t="s">
        <v>162</v>
      </c>
      <c r="DA32" s="1">
        <f>B41</f>
        <v>56.2</v>
      </c>
      <c r="DB32" t="s">
        <v>380</v>
      </c>
      <c r="DY32" s="413"/>
      <c r="HD32" t="s">
        <v>65</v>
      </c>
      <c r="HE32" s="1">
        <v>70</v>
      </c>
    </row>
    <row r="33" spans="1:214" ht="13.15" customHeight="1" thickTop="1" x14ac:dyDescent="0.2">
      <c r="A33" t="s">
        <v>87</v>
      </c>
      <c r="B33" s="411">
        <v>10</v>
      </c>
      <c r="C33" t="s">
        <v>78</v>
      </c>
      <c r="D33" t="s">
        <v>485</v>
      </c>
      <c r="E33" s="1">
        <v>1</v>
      </c>
      <c r="G33" t="s">
        <v>98</v>
      </c>
      <c r="H33">
        <v>1</v>
      </c>
      <c r="J33" t="s">
        <v>100</v>
      </c>
      <c r="K33">
        <v>1</v>
      </c>
      <c r="L33" t="s">
        <v>119</v>
      </c>
      <c r="M33" t="s">
        <v>136</v>
      </c>
      <c r="N33">
        <v>0.68300000000000005</v>
      </c>
      <c r="O33" t="s">
        <v>115</v>
      </c>
      <c r="P33" t="s">
        <v>136</v>
      </c>
      <c r="Q33">
        <v>0.68300000000000005</v>
      </c>
      <c r="R33" t="s">
        <v>115</v>
      </c>
      <c r="W33">
        <v>24</v>
      </c>
      <c r="X33" t="s">
        <v>80</v>
      </c>
      <c r="Z33">
        <v>24</v>
      </c>
      <c r="AA33" t="s">
        <v>80</v>
      </c>
      <c r="AB33" t="s">
        <v>411</v>
      </c>
      <c r="AC33" s="1">
        <f>B17</f>
        <v>1600</v>
      </c>
      <c r="AD33" s="1">
        <f>B17</f>
        <v>1600</v>
      </c>
      <c r="AE33" s="1">
        <f>B17</f>
        <v>1600</v>
      </c>
      <c r="AF33" s="1">
        <f>B17</f>
        <v>1600</v>
      </c>
      <c r="AG33" s="1">
        <f>B17</f>
        <v>1600</v>
      </c>
      <c r="AH33" t="s">
        <v>119</v>
      </c>
      <c r="AI33" t="s">
        <v>136</v>
      </c>
      <c r="AJ33">
        <f>8/24</f>
        <v>0.33333333333333331</v>
      </c>
      <c r="AK33" t="s">
        <v>115</v>
      </c>
      <c r="AL33" t="s">
        <v>136</v>
      </c>
      <c r="AM33">
        <f>8/24</f>
        <v>0.33333333333333331</v>
      </c>
      <c r="AN33" t="s">
        <v>115</v>
      </c>
      <c r="AR33" t="s">
        <v>136</v>
      </c>
      <c r="AS33">
        <v>0</v>
      </c>
      <c r="AT33" t="s">
        <v>115</v>
      </c>
      <c r="AU33" t="s">
        <v>136</v>
      </c>
      <c r="AV33">
        <v>0</v>
      </c>
      <c r="AW33" t="s">
        <v>115</v>
      </c>
      <c r="BA33" t="s">
        <v>136</v>
      </c>
      <c r="BB33">
        <v>0</v>
      </c>
      <c r="BC33" t="s">
        <v>115</v>
      </c>
      <c r="BD33" t="s">
        <v>136</v>
      </c>
      <c r="BE33">
        <v>0</v>
      </c>
      <c r="BF33" t="s">
        <v>115</v>
      </c>
      <c r="BJ33" t="s">
        <v>116</v>
      </c>
      <c r="BK33">
        <f>8/24</f>
        <v>0.33333333333333331</v>
      </c>
      <c r="BL33" t="s">
        <v>117</v>
      </c>
      <c r="BM33" t="s">
        <v>114</v>
      </c>
      <c r="BN33">
        <f>8/24</f>
        <v>0.33333333333333331</v>
      </c>
      <c r="BO33" t="s">
        <v>115</v>
      </c>
      <c r="BV33" t="s">
        <v>473</v>
      </c>
      <c r="BW33">
        <f>BW21/BW20</f>
        <v>1</v>
      </c>
      <c r="BY33" t="s">
        <v>174</v>
      </c>
      <c r="BZ33">
        <v>26</v>
      </c>
      <c r="CA33" t="s">
        <v>88</v>
      </c>
      <c r="CT33" t="s">
        <v>229</v>
      </c>
      <c r="CU33">
        <v>1</v>
      </c>
      <c r="CV33" t="s">
        <v>119</v>
      </c>
      <c r="CZ33" t="s">
        <v>243</v>
      </c>
      <c r="DA33" s="1">
        <f>B42</f>
        <v>10.4</v>
      </c>
      <c r="DB33" t="s">
        <v>380</v>
      </c>
      <c r="DY33" s="413"/>
      <c r="HD33" t="s">
        <v>391</v>
      </c>
      <c r="HE33" s="1">
        <f>1+((HE35*HE36*HE37)/(HE38*HE39))</f>
        <v>16.660043458695149</v>
      </c>
    </row>
    <row r="34" spans="1:214" x14ac:dyDescent="0.2">
      <c r="A34" t="s">
        <v>95</v>
      </c>
      <c r="B34" s="411">
        <v>20</v>
      </c>
      <c r="C34" t="s">
        <v>78</v>
      </c>
      <c r="D34" t="s">
        <v>51</v>
      </c>
      <c r="E34">
        <v>350</v>
      </c>
      <c r="F34" t="s">
        <v>52</v>
      </c>
      <c r="G34" t="s">
        <v>163</v>
      </c>
      <c r="H34">
        <v>0.54</v>
      </c>
      <c r="I34" t="s">
        <v>164</v>
      </c>
      <c r="J34" t="s">
        <v>98</v>
      </c>
      <c r="K34">
        <v>1</v>
      </c>
      <c r="L34" t="s">
        <v>119</v>
      </c>
      <c r="V34" t="s">
        <v>96</v>
      </c>
      <c r="W34">
        <f>B35</f>
        <v>60</v>
      </c>
      <c r="X34" t="s">
        <v>78</v>
      </c>
      <c r="Y34" t="s">
        <v>96</v>
      </c>
      <c r="Z34">
        <f>B35</f>
        <v>60</v>
      </c>
      <c r="AA34" t="s">
        <v>78</v>
      </c>
      <c r="AC34">
        <v>365</v>
      </c>
      <c r="AD34">
        <v>365</v>
      </c>
      <c r="AE34">
        <v>365</v>
      </c>
      <c r="AF34">
        <v>365</v>
      </c>
      <c r="AG34">
        <v>365</v>
      </c>
      <c r="AH34" t="s">
        <v>173</v>
      </c>
      <c r="BJ34" t="s">
        <v>460</v>
      </c>
      <c r="BK34" s="1">
        <f>B10</f>
        <v>0</v>
      </c>
      <c r="BL34" t="s">
        <v>121</v>
      </c>
      <c r="BM34" t="s">
        <v>460</v>
      </c>
      <c r="BN34" s="1">
        <f>B12</f>
        <v>0</v>
      </c>
      <c r="BO34" t="s">
        <v>121</v>
      </c>
      <c r="BV34" t="s">
        <v>474</v>
      </c>
      <c r="BW34">
        <f>BW22/BW20</f>
        <v>1</v>
      </c>
      <c r="BZ34">
        <v>365</v>
      </c>
      <c r="CA34" t="s">
        <v>173</v>
      </c>
      <c r="CH34" s="429" t="s">
        <v>393</v>
      </c>
      <c r="CI34" s="429"/>
      <c r="CJ34" s="429"/>
      <c r="CK34" s="429"/>
      <c r="CL34" s="429"/>
      <c r="CT34" t="s">
        <v>98</v>
      </c>
      <c r="CU34">
        <v>1</v>
      </c>
      <c r="CV34" t="s">
        <v>119</v>
      </c>
      <c r="CZ34" t="s">
        <v>244</v>
      </c>
      <c r="DA34" s="1">
        <f>B43</f>
        <v>28.5</v>
      </c>
      <c r="DB34" t="s">
        <v>380</v>
      </c>
      <c r="DS34" s="1"/>
      <c r="DY34" s="413"/>
      <c r="EH34" s="1"/>
      <c r="HD34" t="s">
        <v>167</v>
      </c>
      <c r="HE34">
        <v>8.1999999999999993</v>
      </c>
    </row>
    <row r="35" spans="1:214" ht="13.15" customHeight="1" x14ac:dyDescent="0.2">
      <c r="A35" t="s">
        <v>96</v>
      </c>
      <c r="B35" s="411">
        <v>60</v>
      </c>
      <c r="C35" t="s">
        <v>78</v>
      </c>
      <c r="D35" t="s">
        <v>447</v>
      </c>
      <c r="E35" s="1">
        <f>B16</f>
        <v>1.0399999999999999E-3</v>
      </c>
      <c r="F35" t="s">
        <v>160</v>
      </c>
      <c r="G35" t="s">
        <v>165</v>
      </c>
      <c r="H35">
        <v>0.71</v>
      </c>
      <c r="I35" t="s">
        <v>164</v>
      </c>
      <c r="J35" t="s">
        <v>83</v>
      </c>
      <c r="K35">
        <v>1</v>
      </c>
      <c r="L35" t="s">
        <v>119</v>
      </c>
      <c r="M35" s="407"/>
      <c r="N35" s="407"/>
      <c r="O35" s="407"/>
      <c r="P35" s="407"/>
      <c r="Q35" s="407"/>
      <c r="R35" s="407"/>
      <c r="V35" t="s">
        <v>445</v>
      </c>
      <c r="W35" s="1">
        <f>B14</f>
        <v>0</v>
      </c>
      <c r="X35" t="s">
        <v>107</v>
      </c>
      <c r="Y35" t="s">
        <v>445</v>
      </c>
      <c r="Z35" s="1">
        <f>B14</f>
        <v>0</v>
      </c>
      <c r="AA35" t="s">
        <v>107</v>
      </c>
      <c r="AB35" t="s">
        <v>37</v>
      </c>
      <c r="AC35">
        <f>(AC31*AC32)/(1-EXP(-AC32*AC31))</f>
        <v>1.0054238331718262</v>
      </c>
      <c r="AD35">
        <f>(AD31*AD32)/(1-EXP(-AD32*AD31))</f>
        <v>1.0054238331718262</v>
      </c>
      <c r="AE35">
        <f>(AE31*AE32)/(1-EXP(-AE32*AE31))</f>
        <v>1.0054238331718262</v>
      </c>
      <c r="AF35">
        <f>(AF31*AF32)/(1-EXP(-AF32*AF31))</f>
        <v>1.0002165781331087</v>
      </c>
      <c r="AG35">
        <f>(AG31*AG32)/(1-EXP(-AG32*AG31))</f>
        <v>1.0002165781331087</v>
      </c>
      <c r="BS35" s="1"/>
      <c r="BT35" s="1"/>
      <c r="BZ35">
        <v>1000</v>
      </c>
      <c r="CA35" t="s">
        <v>179</v>
      </c>
      <c r="CH35" s="429"/>
      <c r="CI35" s="429"/>
      <c r="CJ35" s="429"/>
      <c r="CK35" s="429"/>
      <c r="CL35" s="429"/>
      <c r="CT35" t="s">
        <v>83</v>
      </c>
      <c r="CU35">
        <v>1</v>
      </c>
      <c r="CV35" t="s">
        <v>119</v>
      </c>
      <c r="CZ35" t="s">
        <v>246</v>
      </c>
      <c r="DA35">
        <v>350</v>
      </c>
      <c r="DB35" t="s">
        <v>245</v>
      </c>
      <c r="DS35" s="1"/>
      <c r="DY35" s="413"/>
      <c r="EH35" s="1"/>
      <c r="HD35" t="s">
        <v>131</v>
      </c>
      <c r="HE35" s="4">
        <v>5</v>
      </c>
      <c r="HF35" t="s">
        <v>170</v>
      </c>
    </row>
    <row r="36" spans="1:214" x14ac:dyDescent="0.2">
      <c r="A36" t="s">
        <v>108</v>
      </c>
      <c r="B36" s="411">
        <v>200</v>
      </c>
      <c r="C36" t="s">
        <v>90</v>
      </c>
      <c r="D36" t="s">
        <v>65</v>
      </c>
      <c r="E36">
        <v>1</v>
      </c>
      <c r="F36" t="s">
        <v>119</v>
      </c>
      <c r="G36" t="s">
        <v>168</v>
      </c>
      <c r="H36">
        <v>24</v>
      </c>
      <c r="I36" t="s">
        <v>80</v>
      </c>
      <c r="J36" t="s">
        <v>238</v>
      </c>
      <c r="K36">
        <v>24</v>
      </c>
      <c r="L36" t="s">
        <v>80</v>
      </c>
      <c r="M36" s="407"/>
      <c r="N36" s="407"/>
      <c r="O36" s="407"/>
      <c r="P36" s="407"/>
      <c r="Q36" s="407"/>
      <c r="R36" s="407"/>
      <c r="V36" t="s">
        <v>464</v>
      </c>
      <c r="W36">
        <v>1</v>
      </c>
      <c r="Y36" t="s">
        <v>464</v>
      </c>
      <c r="Z36">
        <v>1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 t="s">
        <v>179</v>
      </c>
      <c r="BK36" s="429" t="s">
        <v>405</v>
      </c>
      <c r="BL36" s="429"/>
      <c r="BM36" s="429"/>
      <c r="BN36" s="429"/>
      <c r="BO36" s="429"/>
      <c r="BZ36">
        <v>1000</v>
      </c>
      <c r="CA36" t="s">
        <v>50</v>
      </c>
      <c r="CH36" s="429"/>
      <c r="CI36" s="429"/>
      <c r="CJ36" s="429"/>
      <c r="CK36" s="429"/>
      <c r="CL36" s="429"/>
      <c r="CT36" t="s">
        <v>382</v>
      </c>
      <c r="CU36">
        <v>24</v>
      </c>
      <c r="CV36" t="s">
        <v>80</v>
      </c>
      <c r="CZ36" t="s">
        <v>247</v>
      </c>
      <c r="DA36">
        <v>350</v>
      </c>
      <c r="DB36" t="s">
        <v>245</v>
      </c>
      <c r="DS36" s="1"/>
      <c r="DY36" s="414"/>
      <c r="EH36" s="1"/>
      <c r="HD36" t="s">
        <v>171</v>
      </c>
      <c r="HE36" s="4">
        <v>5</v>
      </c>
      <c r="HF36" t="s">
        <v>172</v>
      </c>
    </row>
    <row r="37" spans="1:214" x14ac:dyDescent="0.2">
      <c r="A37" t="s">
        <v>127</v>
      </c>
      <c r="B37" s="411">
        <v>100</v>
      </c>
      <c r="C37" t="s">
        <v>90</v>
      </c>
      <c r="D37" t="s">
        <v>162</v>
      </c>
      <c r="E37">
        <f>B44</f>
        <v>54</v>
      </c>
      <c r="F37" t="s">
        <v>90</v>
      </c>
      <c r="G37" t="s">
        <v>168</v>
      </c>
      <c r="H37">
        <v>24</v>
      </c>
      <c r="I37" t="s">
        <v>80</v>
      </c>
      <c r="J37" t="s">
        <v>239</v>
      </c>
      <c r="K37">
        <v>24</v>
      </c>
      <c r="L37" t="s">
        <v>80</v>
      </c>
      <c r="V37" t="s">
        <v>452</v>
      </c>
      <c r="W37" s="1">
        <f>W26/((W32/W33)*W29*W30*W31*W34)</f>
        <v>1.5384615384615385E-2</v>
      </c>
      <c r="X37" t="s">
        <v>36</v>
      </c>
      <c r="Y37" t="s">
        <v>452</v>
      </c>
      <c r="Z37" s="1">
        <f>(Z26*Z30*Z27)/((1-EXP(-Z27))*Z30*Z31*Z29*Z43*(Z32/Z33)*Z34)</f>
        <v>1.538794735589398E-2</v>
      </c>
      <c r="AA37" t="s">
        <v>37</v>
      </c>
      <c r="AB37" t="s">
        <v>451</v>
      </c>
      <c r="AC37" s="1">
        <f>(AC5/(AC9*AC16*AC8*AC11*(1/AC6)))*AC35</f>
        <v>38.67014742968562</v>
      </c>
      <c r="AD37" s="1">
        <f>(AD5/(AD9*AD16*AD8*AD11*(1/AD6)))*AD35</f>
        <v>77.340294859371241</v>
      </c>
      <c r="AE37" s="1">
        <f>(AE5/(AE9*AE16*AE8*AE11*(1/AE6)))*AE35</f>
        <v>42.966830477428466</v>
      </c>
      <c r="AF37" s="1">
        <f>(AF5/(AF9*AF16*AF8*AF11*(1/AF6)))*AF35</f>
        <v>11.65753587567726</v>
      </c>
      <c r="AG37" s="1">
        <f>(AG5/(AG9*AG16*AG8*AG11*(1/AG6)))*AG35</f>
        <v>11.65753587567726</v>
      </c>
      <c r="BK37" s="429"/>
      <c r="BL37" s="429"/>
      <c r="BM37" s="429"/>
      <c r="BN37" s="429"/>
      <c r="BO37" s="429"/>
      <c r="BY37" t="s">
        <v>473</v>
      </c>
      <c r="BZ37">
        <f>BZ27/BZ25</f>
        <v>1</v>
      </c>
      <c r="CH37" s="429"/>
      <c r="CI37" s="429"/>
      <c r="CJ37" s="429"/>
      <c r="CK37" s="429"/>
      <c r="CL37" s="429"/>
      <c r="CT37" t="s">
        <v>239</v>
      </c>
      <c r="CU37">
        <v>24</v>
      </c>
      <c r="CV37" t="s">
        <v>80</v>
      </c>
      <c r="CZ37" t="s">
        <v>227</v>
      </c>
      <c r="DA37">
        <v>1</v>
      </c>
      <c r="DB37" t="s">
        <v>119</v>
      </c>
      <c r="DS37" s="1"/>
      <c r="DY37" s="413"/>
      <c r="EH37" s="1"/>
      <c r="HD37" t="s">
        <v>175</v>
      </c>
      <c r="HE37" s="4">
        <f>(0.0112*HE39*HE39)^0.5+HE40*(1-EXP((-HE38*HE39)/(HE35*HE36*HE40)))</f>
        <v>6.2013772096432787</v>
      </c>
      <c r="HF37" t="s">
        <v>176</v>
      </c>
    </row>
    <row r="38" spans="1:214" x14ac:dyDescent="0.2">
      <c r="A38" t="s">
        <v>414</v>
      </c>
      <c r="B38" s="411">
        <v>0.78</v>
      </c>
      <c r="D38" t="s">
        <v>451</v>
      </c>
      <c r="E38" s="1">
        <f>E33/(E35*E34*E36*E37)</f>
        <v>5.0875050875050877E-2</v>
      </c>
      <c r="F38" t="s">
        <v>22</v>
      </c>
      <c r="G38" t="s">
        <v>151</v>
      </c>
      <c r="H38">
        <v>1</v>
      </c>
      <c r="I38" t="s">
        <v>152</v>
      </c>
      <c r="J38" t="s">
        <v>369</v>
      </c>
      <c r="K38">
        <v>0.25</v>
      </c>
      <c r="V38" t="s">
        <v>477</v>
      </c>
      <c r="W38" s="1" t="e">
        <f>(W26)/((W32/W33)*W29*W30*W35*(1/365))</f>
        <v>#DIV/0!</v>
      </c>
      <c r="X38" t="s">
        <v>36</v>
      </c>
      <c r="Y38" t="s">
        <v>477</v>
      </c>
      <c r="Z38" s="1" t="e">
        <f>(Z26*Z30*Z27)/((1-EXP(-Z27*Z30))*Z35*Z29*Z43*(Z32/Z33)*Z36*(Z43/Z44))</f>
        <v>#DIV/0!</v>
      </c>
      <c r="AA38" t="s">
        <v>37</v>
      </c>
      <c r="AB38" t="s">
        <v>452</v>
      </c>
      <c r="AC38" s="1">
        <f>(AC5/(AC24*AC20*AC8*AC11*(1/AC40)*((8/1)/(24/1))*AC36))*AC35</f>
        <v>21026.420480448982</v>
      </c>
      <c r="AD38" s="1">
        <f>(AD5/(AD24*AD20*AD8*((8/1)/(24/1))*AD11*(1/AD40)*AD36))*AD35</f>
        <v>21026.420480448982</v>
      </c>
      <c r="AE38" s="1">
        <f>(AE5/(AE24*AE20*AE8*((8/1)/(24/1))*AE11*(1/AE40)*AE36))*AE35</f>
        <v>23362.689422721091</v>
      </c>
      <c r="AF38" s="1">
        <f>(AF5/(AF24*AF20*AF8*AF11*(1/AF41)*AF28*AF19*AF36))*AF35</f>
        <v>11.94303846864206</v>
      </c>
      <c r="AG38" s="1">
        <v>432</v>
      </c>
      <c r="BK38" s="429"/>
      <c r="BL38" s="429"/>
      <c r="BM38" s="429"/>
      <c r="BN38" s="429"/>
      <c r="BO38" s="429"/>
      <c r="BY38" t="s">
        <v>474</v>
      </c>
      <c r="BZ38">
        <f>BZ26/BZ25</f>
        <v>1</v>
      </c>
      <c r="CT38" t="s">
        <v>383</v>
      </c>
      <c r="CU38">
        <v>1</v>
      </c>
      <c r="CZ38" t="s">
        <v>228</v>
      </c>
      <c r="DA38">
        <v>1</v>
      </c>
      <c r="DB38" t="s">
        <v>119</v>
      </c>
      <c r="DY38" s="413"/>
      <c r="HD38" t="s">
        <v>178</v>
      </c>
      <c r="HE38" s="4">
        <v>0.18</v>
      </c>
      <c r="HF38" t="s">
        <v>170</v>
      </c>
    </row>
    <row r="39" spans="1:214" ht="13.5" thickBot="1" x14ac:dyDescent="0.25">
      <c r="A39" t="s">
        <v>415</v>
      </c>
      <c r="B39" s="411">
        <v>2.5</v>
      </c>
      <c r="G39" t="s">
        <v>153</v>
      </c>
      <c r="H39">
        <v>1</v>
      </c>
      <c r="I39" t="s">
        <v>152</v>
      </c>
      <c r="J39" t="s">
        <v>155</v>
      </c>
      <c r="K39">
        <v>1.752</v>
      </c>
      <c r="L39" t="s">
        <v>117</v>
      </c>
      <c r="V39" t="s">
        <v>452</v>
      </c>
      <c r="W39" s="1">
        <f>(W26*W27*W30)/((W32/W33)*(1-EXP(-W27*W30))*W31*W34*W29*W30)</f>
        <v>1.538794735589398E-2</v>
      </c>
      <c r="X39" t="s">
        <v>37</v>
      </c>
      <c r="Y39" t="s">
        <v>452</v>
      </c>
      <c r="Z39" s="1">
        <f>Z26/((Z31*Z29*Z43*(Z32/Z33)*Z34))</f>
        <v>1.5384615384615385E-2</v>
      </c>
      <c r="AA39" t="s">
        <v>36</v>
      </c>
      <c r="AB39" t="s">
        <v>453</v>
      </c>
      <c r="AC39" s="1">
        <f>(AC5/(AC23*AC22*AC29*AC19*AC8*(1/AC34)*AC11))*AC35</f>
        <v>0.41544871597099986</v>
      </c>
      <c r="AD39" s="1">
        <f>(AD5/(AD23*AD22*AD29*AD21*AD8*(1/AD34)*AD11))*AD35</f>
        <v>1.0386217899274999</v>
      </c>
      <c r="AE39" s="1">
        <f>(AE5/(AE23*AE22*AE29*AE19*AE8*(1/AE34)*AE11))*AE35</f>
        <v>0.46160968441222211</v>
      </c>
      <c r="AF39" s="1">
        <f>(AF5/(AF23*AF22*(AF28+AF29*AF21)*AF8*(1/AF34)*AF11))*AF35</f>
        <v>0.29521217063497418</v>
      </c>
      <c r="AG39" s="1">
        <f>(AG5/(AG24*AG20*AG8*AG11*(1/AG42)*(AG28+(AG29*AG30))*AG36))*AG35</f>
        <v>764.53440061148331</v>
      </c>
      <c r="BK39" s="429"/>
      <c r="BL39" s="429"/>
      <c r="BM39" s="429"/>
      <c r="BN39" s="429"/>
      <c r="BO39" s="429"/>
      <c r="BT39" s="7"/>
      <c r="BU39" s="2"/>
      <c r="CT39" t="s">
        <v>155</v>
      </c>
      <c r="CU39">
        <v>12.167999999999999</v>
      </c>
      <c r="CV39" t="s">
        <v>117</v>
      </c>
      <c r="CZ39" t="s">
        <v>229</v>
      </c>
      <c r="DA39">
        <v>1</v>
      </c>
      <c r="DB39" t="s">
        <v>119</v>
      </c>
      <c r="DY39" s="413"/>
      <c r="HD39" t="s">
        <v>180</v>
      </c>
      <c r="HE39" s="4">
        <v>55</v>
      </c>
      <c r="HF39" t="s">
        <v>176</v>
      </c>
    </row>
    <row r="40" spans="1:214" ht="15" customHeight="1" thickTop="1" x14ac:dyDescent="0.2">
      <c r="A40" t="s">
        <v>374</v>
      </c>
      <c r="B40" s="410">
        <v>14.8</v>
      </c>
      <c r="C40" t="s">
        <v>380</v>
      </c>
      <c r="D40" s="103" t="s">
        <v>3</v>
      </c>
      <c r="E40" s="104"/>
      <c r="F40" s="105" t="s">
        <v>422</v>
      </c>
      <c r="H40">
        <f>1/1000</f>
        <v>1E-3</v>
      </c>
      <c r="I40" t="s">
        <v>154</v>
      </c>
      <c r="J40" t="s">
        <v>158</v>
      </c>
      <c r="K40">
        <v>16.416</v>
      </c>
      <c r="L40" t="s">
        <v>117</v>
      </c>
      <c r="V40" t="s">
        <v>477</v>
      </c>
      <c r="W40" s="1" t="e">
        <f>(W26*W27*W30)/((W32/W33)*(1-EXP(-W27*W30))*W35*W29*W30*(1/365))</f>
        <v>#DIV/0!</v>
      </c>
      <c r="X40" t="s">
        <v>37</v>
      </c>
      <c r="Y40" t="s">
        <v>477</v>
      </c>
      <c r="Z40" s="1" t="e">
        <f>Z26/(Z35*Z29*(1/Z44)*Z43*(Z32/Z33)*Z36)</f>
        <v>#DIV/0!</v>
      </c>
      <c r="AA40" t="s">
        <v>36</v>
      </c>
      <c r="AB40" t="s">
        <v>148</v>
      </c>
      <c r="AC40" s="1">
        <f>B18</f>
        <v>1359344473.5814338</v>
      </c>
      <c r="AD40" s="1">
        <f>B18</f>
        <v>1359344473.5814338</v>
      </c>
      <c r="AE40" s="1">
        <f>B18</f>
        <v>1359344473.5814338</v>
      </c>
      <c r="AG40" s="1">
        <f>(AG5/(AG23*AG22*(AG28+AG29*AG21)*AG8*(1/AG34)*AG11))*AG35</f>
        <v>0.29521217063497418</v>
      </c>
      <c r="BT40" s="7"/>
      <c r="BU40" s="2"/>
      <c r="CT40" t="s">
        <v>158</v>
      </c>
      <c r="CU40">
        <v>10.007999999999999</v>
      </c>
      <c r="CV40" t="s">
        <v>117</v>
      </c>
      <c r="CZ40" t="s">
        <v>409</v>
      </c>
      <c r="DA40">
        <v>24</v>
      </c>
      <c r="DB40" t="s">
        <v>80</v>
      </c>
      <c r="DY40" s="413"/>
      <c r="HD40" t="s">
        <v>181</v>
      </c>
      <c r="HE40" s="4">
        <v>5</v>
      </c>
      <c r="HF40" t="s">
        <v>176</v>
      </c>
    </row>
    <row r="41" spans="1:214" ht="14.25" x14ac:dyDescent="0.2">
      <c r="A41" t="s">
        <v>375</v>
      </c>
      <c r="B41" s="410">
        <v>56.2</v>
      </c>
      <c r="C41" t="s">
        <v>380</v>
      </c>
      <c r="D41" s="106" t="s">
        <v>150</v>
      </c>
      <c r="E41" s="107" t="s">
        <v>456</v>
      </c>
      <c r="F41" s="108" t="s">
        <v>24</v>
      </c>
      <c r="H41">
        <v>1000</v>
      </c>
      <c r="I41" t="s">
        <v>157</v>
      </c>
      <c r="J41" t="s">
        <v>161</v>
      </c>
      <c r="K41">
        <v>0.4</v>
      </c>
      <c r="Y41" t="s">
        <v>378</v>
      </c>
      <c r="Z41">
        <v>50</v>
      </c>
      <c r="AA41" t="s">
        <v>194</v>
      </c>
      <c r="AB41" s="5" t="s">
        <v>184</v>
      </c>
      <c r="AF41" s="6">
        <f>B19</f>
        <v>776129.4078035407</v>
      </c>
      <c r="AH41" s="5" t="s">
        <v>149</v>
      </c>
      <c r="BT41" s="1"/>
      <c r="CT41" t="s">
        <v>161</v>
      </c>
      <c r="CU41">
        <v>0.4</v>
      </c>
      <c r="CZ41" t="s">
        <v>410</v>
      </c>
      <c r="DA41">
        <v>24</v>
      </c>
      <c r="DB41" t="s">
        <v>80</v>
      </c>
      <c r="DY41" s="413"/>
      <c r="HD41" t="s">
        <v>182</v>
      </c>
      <c r="HE41" s="4">
        <v>5</v>
      </c>
      <c r="HF41" t="s">
        <v>176</v>
      </c>
    </row>
    <row r="42" spans="1:214" ht="13.9" customHeight="1" x14ac:dyDescent="0.2">
      <c r="A42" t="s">
        <v>370</v>
      </c>
      <c r="B42" s="410">
        <v>10.4</v>
      </c>
      <c r="C42" t="s">
        <v>380</v>
      </c>
      <c r="D42" s="106" t="s">
        <v>177</v>
      </c>
      <c r="E42" s="109">
        <f>E52</f>
        <v>1.0175010175010175</v>
      </c>
      <c r="F42" s="110"/>
      <c r="H42">
        <v>1000</v>
      </c>
      <c r="I42" t="s">
        <v>376</v>
      </c>
      <c r="J42" t="s">
        <v>466</v>
      </c>
      <c r="K42">
        <v>0.4</v>
      </c>
      <c r="Y42" t="s">
        <v>377</v>
      </c>
      <c r="Z42">
        <v>5</v>
      </c>
      <c r="AA42" t="s">
        <v>297</v>
      </c>
      <c r="AB42" s="5" t="s">
        <v>185</v>
      </c>
      <c r="AF42" s="5"/>
      <c r="AG42" s="6">
        <f>B20</f>
        <v>69557565.807898715</v>
      </c>
      <c r="AH42" s="5"/>
      <c r="AI42" s="5"/>
      <c r="AJ42" s="5"/>
      <c r="AK42" s="5"/>
      <c r="CT42" t="s">
        <v>466</v>
      </c>
      <c r="CU42">
        <v>0.4</v>
      </c>
      <c r="CZ42" t="s">
        <v>151</v>
      </c>
      <c r="DA42">
        <v>1</v>
      </c>
      <c r="DB42" t="s">
        <v>248</v>
      </c>
    </row>
    <row r="43" spans="1:214" ht="13.15" customHeight="1" thickBot="1" x14ac:dyDescent="0.25">
      <c r="A43" t="s">
        <v>371</v>
      </c>
      <c r="B43" s="410">
        <v>28.5</v>
      </c>
      <c r="C43" t="s">
        <v>380</v>
      </c>
      <c r="D43" s="111" t="s">
        <v>10</v>
      </c>
      <c r="E43" s="112" t="s">
        <v>33</v>
      </c>
      <c r="F43" s="113"/>
      <c r="G43" t="s">
        <v>369</v>
      </c>
      <c r="H43">
        <v>0.25</v>
      </c>
      <c r="J43" t="s">
        <v>465</v>
      </c>
      <c r="K43">
        <v>1</v>
      </c>
      <c r="Y43" t="s">
        <v>298</v>
      </c>
      <c r="Z43">
        <v>1</v>
      </c>
      <c r="AA43" t="s">
        <v>253</v>
      </c>
      <c r="AF43" s="429" t="s">
        <v>392</v>
      </c>
      <c r="AG43" s="429"/>
      <c r="AH43" s="429"/>
      <c r="AI43" s="5"/>
      <c r="AJ43" s="5"/>
      <c r="AK43" s="5"/>
      <c r="BT43" s="1"/>
      <c r="CT43" t="s">
        <v>465</v>
      </c>
      <c r="CU43">
        <v>1</v>
      </c>
      <c r="CZ43" t="s">
        <v>153</v>
      </c>
      <c r="DA43">
        <v>1</v>
      </c>
      <c r="DB43" t="s">
        <v>248</v>
      </c>
    </row>
    <row r="44" spans="1:214" ht="13.5" thickTop="1" x14ac:dyDescent="0.2">
      <c r="A44" t="s">
        <v>162</v>
      </c>
      <c r="B44" s="411">
        <v>54</v>
      </c>
      <c r="C44" t="s">
        <v>90</v>
      </c>
      <c r="D44" t="s">
        <v>485</v>
      </c>
      <c r="E44" s="1">
        <v>1</v>
      </c>
      <c r="H44">
        <v>365</v>
      </c>
      <c r="I44" t="s">
        <v>52</v>
      </c>
      <c r="J44" t="s">
        <v>105</v>
      </c>
      <c r="K44">
        <v>1</v>
      </c>
      <c r="Z44">
        <v>365</v>
      </c>
      <c r="AA44" t="s">
        <v>145</v>
      </c>
      <c r="AF44" s="429"/>
      <c r="AG44" s="429"/>
      <c r="AH44" s="429"/>
      <c r="CT44" t="s">
        <v>105</v>
      </c>
      <c r="CU44">
        <v>1</v>
      </c>
      <c r="CZ44" t="s">
        <v>249</v>
      </c>
      <c r="DA44">
        <v>0.54</v>
      </c>
      <c r="DB44" t="s">
        <v>251</v>
      </c>
    </row>
    <row r="45" spans="1:214" ht="12.75" customHeight="1" x14ac:dyDescent="0.2">
      <c r="A45" t="s">
        <v>254</v>
      </c>
      <c r="B45" s="411">
        <v>256</v>
      </c>
      <c r="C45" t="s">
        <v>380</v>
      </c>
      <c r="D45" t="s">
        <v>51</v>
      </c>
      <c r="E45">
        <v>350</v>
      </c>
      <c r="F45" t="s">
        <v>52</v>
      </c>
      <c r="H45">
        <v>8760</v>
      </c>
      <c r="I45" t="s">
        <v>237</v>
      </c>
      <c r="J45" t="s">
        <v>169</v>
      </c>
      <c r="K45">
        <v>26</v>
      </c>
      <c r="L45" t="s">
        <v>88</v>
      </c>
      <c r="AB45" s="5"/>
      <c r="AC45" s="5"/>
      <c r="AF45" s="429"/>
      <c r="AG45" s="429"/>
      <c r="AH45" s="429"/>
      <c r="AI45" s="5"/>
      <c r="AJ45" s="5"/>
      <c r="AK45" s="5"/>
      <c r="CT45" t="s">
        <v>299</v>
      </c>
      <c r="CU45">
        <v>40</v>
      </c>
      <c r="CV45" t="s">
        <v>88</v>
      </c>
      <c r="CZ45" t="s">
        <v>250</v>
      </c>
      <c r="DA45">
        <v>0.71</v>
      </c>
      <c r="DB45" t="s">
        <v>251</v>
      </c>
    </row>
    <row r="46" spans="1:214" x14ac:dyDescent="0.2">
      <c r="A46" t="s">
        <v>255</v>
      </c>
      <c r="B46" s="411">
        <v>615</v>
      </c>
      <c r="C46" t="s">
        <v>380</v>
      </c>
      <c r="D46" t="s">
        <v>447</v>
      </c>
      <c r="E46" s="1">
        <f>B16</f>
        <v>1.0399999999999999E-3</v>
      </c>
      <c r="F46" t="s">
        <v>160</v>
      </c>
      <c r="G46" t="s">
        <v>46</v>
      </c>
      <c r="H46">
        <f>H48</f>
        <v>1E-3</v>
      </c>
      <c r="K46">
        <v>365</v>
      </c>
      <c r="L46" t="s">
        <v>173</v>
      </c>
      <c r="AB46" s="5"/>
      <c r="AC46" s="9"/>
      <c r="AI46" s="5"/>
      <c r="AJ46" s="5"/>
      <c r="AK46" s="5"/>
      <c r="CU46">
        <v>365</v>
      </c>
      <c r="CV46" t="s">
        <v>173</v>
      </c>
      <c r="DA46">
        <v>365</v>
      </c>
      <c r="DB46" t="s">
        <v>245</v>
      </c>
    </row>
    <row r="47" spans="1:214" ht="15" x14ac:dyDescent="0.2">
      <c r="A47" t="s">
        <v>435</v>
      </c>
      <c r="B47" s="410">
        <f>6/26</f>
        <v>0.23076923076923078</v>
      </c>
      <c r="D47" t="s">
        <v>65</v>
      </c>
      <c r="E47">
        <v>1</v>
      </c>
      <c r="F47" t="s">
        <v>119</v>
      </c>
      <c r="G47" t="s">
        <v>54</v>
      </c>
      <c r="H47">
        <f>H49</f>
        <v>0.26</v>
      </c>
      <c r="K47">
        <v>1000</v>
      </c>
      <c r="L47" t="s">
        <v>179</v>
      </c>
      <c r="W47" s="7"/>
      <c r="X47" s="2"/>
      <c r="Y47" s="2"/>
      <c r="Z47" s="2"/>
      <c r="AA47" s="2"/>
      <c r="AB47" s="5"/>
      <c r="AC47" s="5"/>
      <c r="AD47" s="5"/>
      <c r="AI47" s="5"/>
      <c r="AJ47" s="5"/>
      <c r="AK47" s="5"/>
      <c r="CU47">
        <v>1000</v>
      </c>
      <c r="CV47" t="s">
        <v>179</v>
      </c>
      <c r="CZ47" t="s">
        <v>131</v>
      </c>
      <c r="DA47">
        <v>0.5</v>
      </c>
      <c r="DB47" t="s">
        <v>252</v>
      </c>
    </row>
    <row r="48" spans="1:214" x14ac:dyDescent="0.2">
      <c r="A48" t="s">
        <v>434</v>
      </c>
      <c r="B48" s="410">
        <f>20/26</f>
        <v>0.76923076923076927</v>
      </c>
      <c r="D48" t="s">
        <v>162</v>
      </c>
      <c r="E48">
        <f>B44</f>
        <v>54</v>
      </c>
      <c r="F48" t="s">
        <v>90</v>
      </c>
      <c r="G48" t="s">
        <v>63</v>
      </c>
      <c r="H48">
        <f>B28</f>
        <v>1E-3</v>
      </c>
      <c r="K48">
        <v>1000</v>
      </c>
      <c r="L48" t="s">
        <v>50</v>
      </c>
      <c r="W48" s="7"/>
      <c r="X48" s="2"/>
      <c r="Y48" s="2"/>
      <c r="Z48" s="2"/>
      <c r="AA48" s="2"/>
      <c r="AB48" s="5"/>
      <c r="AC48" s="5"/>
      <c r="AF48" s="8"/>
      <c r="AG48" s="5"/>
      <c r="AH48" s="5"/>
      <c r="AI48" s="5"/>
      <c r="AJ48" s="5"/>
      <c r="AK48" s="5"/>
      <c r="CU48">
        <v>1000</v>
      </c>
      <c r="CV48" t="s">
        <v>50</v>
      </c>
      <c r="DA48">
        <v>1</v>
      </c>
      <c r="DB48" t="s">
        <v>253</v>
      </c>
    </row>
    <row r="49" spans="1:106" x14ac:dyDescent="0.2">
      <c r="A49" t="s">
        <v>433</v>
      </c>
      <c r="B49" s="410">
        <f>6/40</f>
        <v>0.15</v>
      </c>
      <c r="E49">
        <v>1000</v>
      </c>
      <c r="F49" t="s">
        <v>179</v>
      </c>
      <c r="G49" t="s">
        <v>70</v>
      </c>
      <c r="H49">
        <v>0.26</v>
      </c>
      <c r="J49" t="s">
        <v>46</v>
      </c>
      <c r="K49">
        <f>K51</f>
        <v>1E-3</v>
      </c>
      <c r="W49" s="1"/>
      <c r="AB49" s="5"/>
      <c r="AC49" s="5"/>
      <c r="AF49" s="8"/>
      <c r="AG49" s="5"/>
      <c r="AH49" s="5"/>
      <c r="AI49" s="5"/>
      <c r="AJ49" s="5"/>
      <c r="AK49" s="5"/>
      <c r="BT49" s="1"/>
      <c r="CT49" t="s">
        <v>433</v>
      </c>
      <c r="CU49" s="1">
        <f>B49</f>
        <v>0.15</v>
      </c>
      <c r="DA49">
        <v>8760</v>
      </c>
      <c r="DB49" t="s">
        <v>237</v>
      </c>
    </row>
    <row r="50" spans="1:106" x14ac:dyDescent="0.2">
      <c r="A50" t="s">
        <v>432</v>
      </c>
      <c r="B50" s="410">
        <f>34/40</f>
        <v>0.85</v>
      </c>
      <c r="D50" t="s">
        <v>186</v>
      </c>
      <c r="E50">
        <f>B22</f>
        <v>50</v>
      </c>
      <c r="F50" t="s">
        <v>45</v>
      </c>
      <c r="G50" t="s">
        <v>44</v>
      </c>
      <c r="H50" s="1">
        <f>(H53*H54*H55*((1-EXP(-H56*H57))))/(H58*H56)</f>
        <v>3.5526527193007473E-2</v>
      </c>
      <c r="I50" t="s">
        <v>45</v>
      </c>
      <c r="J50" t="s">
        <v>54</v>
      </c>
      <c r="K50">
        <f>K52</f>
        <v>0.26</v>
      </c>
      <c r="W50" s="1"/>
      <c r="AB50" s="5"/>
      <c r="AC50" s="5"/>
      <c r="AF50" s="8"/>
      <c r="AG50" s="5"/>
      <c r="AH50" s="5"/>
      <c r="AI50" s="5"/>
      <c r="AJ50" s="5"/>
      <c r="AK50" s="5"/>
      <c r="BW50" s="1"/>
      <c r="CT50" t="s">
        <v>432</v>
      </c>
      <c r="CU50" s="1">
        <f>B50</f>
        <v>0.85</v>
      </c>
      <c r="DA50">
        <v>1000</v>
      </c>
      <c r="DB50" t="s">
        <v>179</v>
      </c>
    </row>
    <row r="51" spans="1:106" x14ac:dyDescent="0.2">
      <c r="D51" t="s">
        <v>188</v>
      </c>
      <c r="E51">
        <v>1</v>
      </c>
      <c r="F51" t="s">
        <v>189</v>
      </c>
      <c r="G51" t="s">
        <v>53</v>
      </c>
      <c r="H51" s="1">
        <f>(H53*H54*H59*((1-EXP(-H56*H57))))/(H58*H56)</f>
        <v>9.2368970701819411</v>
      </c>
      <c r="I51" t="s">
        <v>45</v>
      </c>
      <c r="J51" t="s">
        <v>63</v>
      </c>
      <c r="K51">
        <f>B28</f>
        <v>1E-3</v>
      </c>
      <c r="AB51" s="5"/>
      <c r="AC51" s="5"/>
      <c r="AF51" s="8"/>
      <c r="AG51" s="5"/>
      <c r="BW51" s="1"/>
      <c r="CZ51" t="s">
        <v>433</v>
      </c>
      <c r="DA51" s="1">
        <f>B49</f>
        <v>0.15</v>
      </c>
    </row>
    <row r="52" spans="1:106" x14ac:dyDescent="0.2">
      <c r="D52" t="s">
        <v>451</v>
      </c>
      <c r="E52" s="1">
        <f>E44/(E46*E45*E47*E48*E50*E51*(1/E49))</f>
        <v>1.0175010175010175</v>
      </c>
      <c r="G52" t="s">
        <v>62</v>
      </c>
      <c r="H52" s="1">
        <f>(H53*H54*H60*H66*((1-EXP(-H61*H62))))/(H63*H61)</f>
        <v>3.6423470278489711</v>
      </c>
      <c r="I52" t="s">
        <v>45</v>
      </c>
      <c r="J52" t="s">
        <v>70</v>
      </c>
      <c r="K52">
        <v>0.26</v>
      </c>
      <c r="AB52" s="5"/>
      <c r="AC52" s="5"/>
      <c r="AF52" s="8"/>
      <c r="AG52" s="5"/>
      <c r="BW52" s="1"/>
      <c r="CZ52" t="s">
        <v>432</v>
      </c>
      <c r="DA52" s="1">
        <f>B50</f>
        <v>0.85</v>
      </c>
    </row>
    <row r="53" spans="1:106" x14ac:dyDescent="0.2">
      <c r="G53" t="s">
        <v>68</v>
      </c>
      <c r="H53">
        <v>3.62</v>
      </c>
      <c r="I53" t="s">
        <v>69</v>
      </c>
      <c r="J53" t="s">
        <v>435</v>
      </c>
      <c r="K53" s="1">
        <f>B47</f>
        <v>0.23076923076923078</v>
      </c>
      <c r="W53" s="1"/>
      <c r="AB53" s="5"/>
      <c r="AC53" s="5"/>
      <c r="AF53" s="8"/>
      <c r="AG53" s="5"/>
    </row>
    <row r="54" spans="1:106" x14ac:dyDescent="0.2">
      <c r="G54" t="s">
        <v>74</v>
      </c>
      <c r="H54">
        <v>0.25</v>
      </c>
      <c r="I54" t="s">
        <v>75</v>
      </c>
      <c r="J54" t="s">
        <v>434</v>
      </c>
      <c r="K54" s="1">
        <f>B48</f>
        <v>0.76923076923076927</v>
      </c>
      <c r="AB54" s="5"/>
      <c r="AC54" s="5"/>
      <c r="AF54" s="8"/>
      <c r="AG54" s="5"/>
    </row>
    <row r="55" spans="1:106" x14ac:dyDescent="0.2">
      <c r="G55" t="s">
        <v>63</v>
      </c>
      <c r="H55">
        <f>B28</f>
        <v>1E-3</v>
      </c>
      <c r="AB55" s="5"/>
      <c r="AC55" s="5"/>
      <c r="AD55" s="5"/>
      <c r="AF55" s="8"/>
      <c r="AG55" s="5"/>
      <c r="AH55" s="5"/>
      <c r="AI55" s="5"/>
      <c r="AJ55" s="5"/>
      <c r="AK55" s="5"/>
    </row>
    <row r="56" spans="1:106" x14ac:dyDescent="0.2">
      <c r="G56" t="s">
        <v>92</v>
      </c>
      <c r="H56">
        <f>H64+H65</f>
        <v>2.8186643835616437E-5</v>
      </c>
      <c r="AB56" s="5"/>
      <c r="AC56" s="5"/>
      <c r="AD56" s="5"/>
      <c r="AF56" s="8"/>
      <c r="AG56" s="5"/>
      <c r="AH56" s="5"/>
      <c r="AI56" s="5"/>
      <c r="AJ56" s="5"/>
      <c r="AK56" s="5"/>
    </row>
    <row r="57" spans="1:106" x14ac:dyDescent="0.2">
      <c r="G57" t="s">
        <v>101</v>
      </c>
      <c r="H57">
        <v>10950</v>
      </c>
      <c r="I57" t="s">
        <v>102</v>
      </c>
      <c r="AB57" s="5"/>
      <c r="AC57" s="5"/>
      <c r="AD57" s="5"/>
      <c r="AF57" s="8"/>
      <c r="AG57" s="5"/>
      <c r="AH57" s="5"/>
      <c r="AI57" s="5"/>
      <c r="AJ57" s="5"/>
      <c r="AK57" s="5"/>
    </row>
    <row r="58" spans="1:106" x14ac:dyDescent="0.2">
      <c r="G58" t="s">
        <v>110</v>
      </c>
      <c r="H58">
        <v>240</v>
      </c>
      <c r="I58" t="s">
        <v>111</v>
      </c>
      <c r="AB58" s="5"/>
      <c r="AC58" s="5"/>
      <c r="AF58" s="8"/>
      <c r="AG58" s="5"/>
      <c r="AH58" s="5"/>
      <c r="AI58" s="5"/>
      <c r="AJ58" s="5"/>
      <c r="AK58" s="5"/>
    </row>
    <row r="59" spans="1:106" x14ac:dyDescent="0.2">
      <c r="G59" t="s">
        <v>120</v>
      </c>
      <c r="H59">
        <v>0.26</v>
      </c>
      <c r="AB59" s="5"/>
      <c r="AC59" s="5"/>
      <c r="AF59" s="5"/>
      <c r="AG59" s="5"/>
      <c r="AH59" s="5"/>
      <c r="AI59" s="5"/>
      <c r="AJ59" s="5"/>
      <c r="AK59" s="5"/>
    </row>
    <row r="60" spans="1:106" x14ac:dyDescent="0.2">
      <c r="G60" t="s">
        <v>125</v>
      </c>
      <c r="H60">
        <v>0.42</v>
      </c>
      <c r="I60" t="s">
        <v>75</v>
      </c>
      <c r="AB60" s="5"/>
      <c r="AC60" s="5"/>
      <c r="AF60" s="5"/>
      <c r="AG60" s="5"/>
      <c r="AH60" s="5"/>
      <c r="AI60" s="5"/>
      <c r="AJ60" s="5"/>
      <c r="AK60" s="5"/>
    </row>
    <row r="61" spans="1:106" x14ac:dyDescent="0.2">
      <c r="G61" t="s">
        <v>129</v>
      </c>
      <c r="H61">
        <f>H65+(0.693/H67)</f>
        <v>4.9501186643835612E-2</v>
      </c>
      <c r="I61" t="s">
        <v>130</v>
      </c>
      <c r="AB61" s="5"/>
      <c r="AC61" s="5"/>
      <c r="AD61" s="5"/>
      <c r="AF61" s="5"/>
      <c r="AG61" s="5"/>
      <c r="AH61" s="5"/>
      <c r="AI61" s="5"/>
      <c r="AJ61" s="5"/>
      <c r="AK61" s="5"/>
      <c r="DA61" s="1"/>
    </row>
    <row r="62" spans="1:106" x14ac:dyDescent="0.2">
      <c r="G62" t="s">
        <v>133</v>
      </c>
      <c r="H62">
        <v>60</v>
      </c>
      <c r="I62" t="s">
        <v>102</v>
      </c>
      <c r="AB62" s="5"/>
      <c r="AC62" s="5"/>
      <c r="AD62" s="5"/>
      <c r="AF62" s="8"/>
      <c r="AG62" s="5"/>
      <c r="AH62" s="5"/>
      <c r="AI62" s="5"/>
      <c r="AJ62" s="5"/>
      <c r="AK62" s="5"/>
    </row>
    <row r="63" spans="1:106" x14ac:dyDescent="0.2">
      <c r="G63" t="s">
        <v>135</v>
      </c>
      <c r="H63">
        <v>2</v>
      </c>
      <c r="I63" t="s">
        <v>111</v>
      </c>
      <c r="AB63" s="5"/>
      <c r="AC63" s="5"/>
      <c r="AD63" s="5"/>
      <c r="AF63" s="8"/>
      <c r="AG63" s="5"/>
      <c r="AH63" s="5"/>
      <c r="AI63" s="5"/>
      <c r="AJ63" s="5"/>
      <c r="AK63" s="5"/>
    </row>
    <row r="64" spans="1:106" x14ac:dyDescent="0.2">
      <c r="G64" t="s">
        <v>137</v>
      </c>
      <c r="H64">
        <v>2.6999999999999999E-5</v>
      </c>
      <c r="I64" t="s">
        <v>130</v>
      </c>
      <c r="AB64" s="5"/>
      <c r="AC64" s="5"/>
      <c r="AD64" s="5"/>
      <c r="AF64" s="8"/>
      <c r="AG64" s="5"/>
      <c r="AH64" s="5"/>
      <c r="AI64" s="5"/>
      <c r="AJ64" s="5"/>
      <c r="AK64" s="5"/>
    </row>
    <row r="65" spans="7:105" x14ac:dyDescent="0.2">
      <c r="G65" t="s">
        <v>138</v>
      </c>
      <c r="H65">
        <f>0.693/H69</f>
        <v>1.1866438356164383E-6</v>
      </c>
      <c r="I65" t="s">
        <v>130</v>
      </c>
      <c r="AB65" s="5"/>
      <c r="AC65" s="5"/>
      <c r="AD65" s="5"/>
      <c r="AF65" s="8"/>
      <c r="AG65" s="5"/>
      <c r="AH65" s="5"/>
      <c r="AI65" s="5"/>
      <c r="AJ65" s="5"/>
      <c r="AK65" s="5"/>
    </row>
    <row r="66" spans="7:105" x14ac:dyDescent="0.2">
      <c r="G66" t="s">
        <v>140</v>
      </c>
      <c r="H66">
        <v>1</v>
      </c>
      <c r="I66" t="s">
        <v>75</v>
      </c>
      <c r="AB66" s="5"/>
      <c r="AC66" s="5"/>
      <c r="AD66" s="5"/>
      <c r="AF66" s="8"/>
      <c r="AG66" s="5"/>
      <c r="AH66" s="5"/>
      <c r="AI66" s="5"/>
      <c r="AJ66" s="5"/>
      <c r="AK66" s="5"/>
      <c r="DA66" s="1"/>
    </row>
    <row r="67" spans="7:105" x14ac:dyDescent="0.2">
      <c r="G67" t="s">
        <v>144</v>
      </c>
      <c r="H67">
        <v>14</v>
      </c>
      <c r="I67" t="s">
        <v>145</v>
      </c>
      <c r="AB67" s="5"/>
      <c r="AC67" s="10"/>
      <c r="AD67" s="5"/>
      <c r="AF67" s="8"/>
      <c r="AG67" s="5"/>
      <c r="AH67" s="5"/>
      <c r="AI67" s="5"/>
      <c r="AJ67" s="5"/>
      <c r="AK67" s="5"/>
    </row>
    <row r="68" spans="7:105" x14ac:dyDescent="0.2">
      <c r="G68" t="s">
        <v>64</v>
      </c>
      <c r="H68">
        <f>B29</f>
        <v>0</v>
      </c>
      <c r="AB68" s="5"/>
      <c r="AC68" s="11"/>
      <c r="AD68" s="5"/>
      <c r="AF68" s="8"/>
      <c r="AG68" s="5"/>
      <c r="AH68" s="5"/>
      <c r="AI68" s="5"/>
      <c r="AJ68" s="5"/>
      <c r="AK68" s="5"/>
    </row>
    <row r="69" spans="7:105" x14ac:dyDescent="0.2">
      <c r="G69" t="s">
        <v>416</v>
      </c>
      <c r="H69" s="1">
        <f>B21</f>
        <v>584000</v>
      </c>
      <c r="I69" t="s">
        <v>381</v>
      </c>
      <c r="AF69" s="12"/>
      <c r="AG69" s="5"/>
      <c r="AH69" s="5"/>
      <c r="AI69" s="5"/>
      <c r="AJ69" s="5"/>
      <c r="AK69" s="5"/>
      <c r="BW69" s="1"/>
    </row>
    <row r="70" spans="7:105" x14ac:dyDescent="0.2">
      <c r="G70" t="s">
        <v>435</v>
      </c>
      <c r="H70" s="1">
        <f>B47</f>
        <v>0.23076923076923078</v>
      </c>
      <c r="AF70" s="8"/>
      <c r="AG70" s="5"/>
      <c r="AH70" s="5"/>
      <c r="AI70" s="5"/>
      <c r="AJ70" s="5"/>
      <c r="AK70" s="5"/>
    </row>
    <row r="71" spans="7:105" x14ac:dyDescent="0.2">
      <c r="G71" t="s">
        <v>434</v>
      </c>
      <c r="H71" s="1">
        <f>B48</f>
        <v>0.76923076923076927</v>
      </c>
      <c r="AF71" s="13"/>
      <c r="AG71" s="5"/>
      <c r="AH71" s="5"/>
      <c r="AI71" s="5"/>
      <c r="AJ71" s="5"/>
      <c r="AK71" s="5"/>
    </row>
    <row r="72" spans="7:105" x14ac:dyDescent="0.2">
      <c r="AF72" s="8"/>
      <c r="AG72" s="5"/>
      <c r="AH72" s="5"/>
      <c r="AI72" s="5"/>
      <c r="AJ72" s="5"/>
      <c r="AK72" s="5"/>
    </row>
    <row r="73" spans="7:105" x14ac:dyDescent="0.2">
      <c r="AF73" s="8"/>
      <c r="AG73" s="5"/>
      <c r="AH73" s="5"/>
      <c r="AI73" s="5"/>
      <c r="AJ73" s="5"/>
      <c r="AK73" s="5"/>
    </row>
    <row r="74" spans="7:105" x14ac:dyDescent="0.2">
      <c r="AF74" s="8"/>
      <c r="AG74" s="5"/>
      <c r="AH74" s="5"/>
      <c r="AI74" s="5"/>
      <c r="AJ74" s="5"/>
      <c r="AK74" s="5"/>
    </row>
    <row r="75" spans="7:105" x14ac:dyDescent="0.2">
      <c r="AF75" s="5"/>
      <c r="AG75" s="5"/>
      <c r="AH75" s="5"/>
      <c r="AI75" s="5"/>
      <c r="AJ75" s="5"/>
      <c r="AK75" s="5"/>
    </row>
    <row r="76" spans="7:105" x14ac:dyDescent="0.2">
      <c r="AF76" s="8"/>
      <c r="AG76" s="5"/>
      <c r="AH76" s="5"/>
      <c r="AI76" s="5"/>
      <c r="AJ76" s="5"/>
      <c r="AK76" s="5"/>
    </row>
    <row r="77" spans="7:105" x14ac:dyDescent="0.2">
      <c r="AF77" s="8"/>
      <c r="AG77" s="5"/>
      <c r="AH77" s="5"/>
      <c r="AI77" s="5"/>
      <c r="AJ77" s="5"/>
      <c r="AK77" s="5"/>
    </row>
    <row r="78" spans="7:105" ht="12.75" customHeight="1" x14ac:dyDescent="0.2">
      <c r="AF78" s="8"/>
      <c r="AG78" s="5"/>
    </row>
    <row r="79" spans="7:105" x14ac:dyDescent="0.2">
      <c r="AF79" s="8"/>
      <c r="AG79" s="5"/>
      <c r="AH79" s="5"/>
      <c r="AI79" s="5"/>
      <c r="AJ79" s="5"/>
      <c r="AK79" s="5"/>
    </row>
    <row r="80" spans="7:105" x14ac:dyDescent="0.2">
      <c r="AF80" s="8"/>
      <c r="AG80" s="5"/>
      <c r="AH80" s="5"/>
      <c r="AI80" s="5"/>
      <c r="AJ80" s="5"/>
      <c r="AK80" s="5"/>
    </row>
    <row r="81" spans="32:37" x14ac:dyDescent="0.2">
      <c r="AF81" s="8"/>
      <c r="AG81" s="5"/>
      <c r="AH81" s="5"/>
      <c r="AI81" s="5"/>
      <c r="AJ81" s="5"/>
      <c r="AK81" s="5"/>
    </row>
    <row r="82" spans="32:37" x14ac:dyDescent="0.2">
      <c r="AF82" s="8"/>
      <c r="AG82" s="5"/>
      <c r="AH82" s="5"/>
      <c r="AI82" s="5"/>
      <c r="AJ82" s="5"/>
      <c r="AK82" s="5"/>
    </row>
    <row r="83" spans="32:37" x14ac:dyDescent="0.2">
      <c r="AF83" s="5"/>
      <c r="AG83" s="5"/>
    </row>
    <row r="84" spans="32:37" x14ac:dyDescent="0.2">
      <c r="AF84" s="5"/>
      <c r="AG84" s="5"/>
      <c r="AH84" s="5"/>
      <c r="AI84" s="5"/>
      <c r="AJ84" s="5"/>
      <c r="AK84" s="5"/>
    </row>
    <row r="85" spans="32:37" x14ac:dyDescent="0.2">
      <c r="AF85" s="5"/>
      <c r="AG85" s="5"/>
    </row>
    <row r="86" spans="32:37" x14ac:dyDescent="0.2">
      <c r="AH86" s="5"/>
      <c r="AI86" s="5"/>
      <c r="AJ86" s="5"/>
      <c r="AK86" s="5"/>
    </row>
  </sheetData>
  <mergeCells count="4">
    <mergeCell ref="A1:C4"/>
    <mergeCell ref="CH34:CL37"/>
    <mergeCell ref="BK36:BO39"/>
    <mergeCell ref="AF43:AH45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F86"/>
  <sheetViews>
    <sheetView tabSelected="1" workbookViewId="0">
      <pane xSplit="3" ySplit="4" topLeftCell="D5" activePane="bottomRight" state="frozen"/>
      <selection activeCell="E11" sqref="E11"/>
      <selection pane="topRight" activeCell="E11" sqref="E11"/>
      <selection pane="bottomLeft" activeCell="E11" sqref="E11"/>
      <selection pane="bottomRight" activeCell="K15" sqref="K15"/>
    </sheetView>
  </sheetViews>
  <sheetFormatPr defaultRowHeight="12.75" x14ac:dyDescent="0.2"/>
  <cols>
    <col min="1" max="1" width="14.42578125" bestFit="1" customWidth="1"/>
    <col min="2" max="2" width="9.42578125" bestFit="1" customWidth="1"/>
    <col min="3" max="3" width="14.28515625" bestFit="1" customWidth="1"/>
    <col min="4" max="4" width="8.5703125" customWidth="1"/>
    <col min="5" max="5" width="12.5703125" customWidth="1"/>
    <col min="6" max="6" width="19" customWidth="1"/>
    <col min="7" max="7" width="10" customWidth="1"/>
    <col min="8" max="8" width="12" customWidth="1"/>
    <col min="9" max="9" width="13.28515625" customWidth="1"/>
    <col min="10" max="10" width="10" customWidth="1"/>
    <col min="11" max="11" width="12.85546875" customWidth="1"/>
    <col min="12" max="12" width="14.28515625" customWidth="1"/>
    <col min="13" max="13" width="10.42578125" customWidth="1"/>
    <col min="14" max="14" width="11.5703125" customWidth="1"/>
    <col min="15" max="15" width="15.42578125" customWidth="1"/>
    <col min="16" max="16" width="10.42578125" customWidth="1"/>
    <col min="17" max="17" width="8.85546875" customWidth="1"/>
    <col min="18" max="18" width="15.42578125" customWidth="1"/>
    <col min="19" max="19" width="10.42578125" customWidth="1"/>
    <col min="20" max="20" width="8.85546875" customWidth="1"/>
    <col min="21" max="21" width="15.42578125" customWidth="1"/>
    <col min="22" max="22" width="8.5703125" customWidth="1"/>
    <col min="23" max="23" width="9" customWidth="1"/>
    <col min="24" max="24" width="16.85546875" customWidth="1"/>
    <col min="25" max="25" width="9.28515625" customWidth="1"/>
    <col min="26" max="26" width="11.140625" customWidth="1"/>
    <col min="27" max="27" width="16.85546875" customWidth="1"/>
    <col min="28" max="28" width="12.85546875" customWidth="1"/>
    <col min="29" max="29" width="17.42578125" customWidth="1"/>
    <col min="30" max="30" width="15.7109375" customWidth="1"/>
    <col min="31" max="31" width="15" customWidth="1"/>
    <col min="32" max="32" width="20.5703125" customWidth="1"/>
    <col min="33" max="33" width="24.28515625" customWidth="1"/>
    <col min="34" max="34" width="15.7109375" customWidth="1"/>
    <col min="35" max="35" width="10.42578125" customWidth="1"/>
    <col min="36" max="36" width="11.5703125" customWidth="1"/>
    <col min="37" max="37" width="15.42578125" customWidth="1"/>
    <col min="38" max="38" width="10.42578125" customWidth="1"/>
    <col min="39" max="39" width="8.85546875" customWidth="1"/>
    <col min="40" max="40" width="15.42578125" customWidth="1"/>
    <col min="41" max="41" width="10.42578125" customWidth="1"/>
    <col min="42" max="42" width="8.85546875" customWidth="1"/>
    <col min="43" max="43" width="15.42578125" customWidth="1"/>
    <col min="44" max="44" width="10.42578125" customWidth="1"/>
    <col min="45" max="45" width="11.5703125" customWidth="1"/>
    <col min="46" max="46" width="15.42578125" customWidth="1"/>
    <col min="47" max="47" width="10.42578125" customWidth="1"/>
    <col min="48" max="48" width="8.85546875" customWidth="1"/>
    <col min="49" max="49" width="15.42578125" customWidth="1"/>
    <col min="50" max="50" width="10.42578125" bestFit="1" customWidth="1"/>
    <col min="51" max="51" width="8.85546875" customWidth="1"/>
    <col min="52" max="52" width="15.42578125" customWidth="1"/>
    <col min="53" max="53" width="10.42578125" bestFit="1" customWidth="1"/>
    <col min="54" max="54" width="11.5703125" bestFit="1" customWidth="1"/>
    <col min="55" max="55" width="15.42578125" bestFit="1" customWidth="1"/>
    <col min="56" max="56" width="10.42578125" bestFit="1" customWidth="1"/>
    <col min="57" max="57" width="8.85546875" bestFit="1" customWidth="1"/>
    <col min="58" max="58" width="15.42578125" bestFit="1" customWidth="1"/>
    <col min="59" max="59" width="10.42578125" bestFit="1" customWidth="1"/>
    <col min="60" max="60" width="8.85546875" bestFit="1" customWidth="1"/>
    <col min="61" max="61" width="15.42578125" bestFit="1" customWidth="1"/>
    <col min="62" max="62" width="10.42578125" bestFit="1" customWidth="1"/>
    <col min="63" max="63" width="11.5703125" bestFit="1" customWidth="1"/>
    <col min="64" max="64" width="15.42578125" bestFit="1" customWidth="1"/>
    <col min="65" max="65" width="10.42578125" bestFit="1" customWidth="1"/>
    <col min="66" max="66" width="8.85546875" bestFit="1" customWidth="1"/>
    <col min="67" max="67" width="15.42578125" bestFit="1" customWidth="1"/>
    <col min="68" max="68" width="10.42578125" bestFit="1" customWidth="1"/>
    <col min="69" max="69" width="8.85546875" bestFit="1" customWidth="1"/>
    <col min="70" max="70" width="15.42578125" bestFit="1" customWidth="1"/>
    <col min="71" max="71" width="8.5703125" customWidth="1"/>
    <col min="72" max="72" width="10.5703125" bestFit="1" customWidth="1"/>
    <col min="73" max="73" width="19" bestFit="1" customWidth="1"/>
    <col min="74" max="75" width="12" bestFit="1" customWidth="1"/>
    <col min="76" max="76" width="10.42578125" bestFit="1" customWidth="1"/>
    <col min="77" max="77" width="10" bestFit="1" customWidth="1"/>
    <col min="78" max="78" width="11.28515625" bestFit="1" customWidth="1"/>
    <col min="79" max="79" width="14.28515625" customWidth="1"/>
    <col min="80" max="82" width="15.42578125" customWidth="1"/>
    <col min="83" max="83" width="10.42578125" bestFit="1" customWidth="1"/>
    <col min="84" max="84" width="8.85546875" bestFit="1" customWidth="1"/>
    <col min="85" max="85" width="15.42578125" bestFit="1" customWidth="1"/>
    <col min="86" max="86" width="10.42578125" bestFit="1" customWidth="1"/>
    <col min="87" max="87" width="8.85546875" bestFit="1" customWidth="1"/>
    <col min="88" max="88" width="15.42578125" bestFit="1" customWidth="1"/>
    <col min="89" max="89" width="9" bestFit="1" customWidth="1"/>
    <col min="90" max="90" width="8.85546875" bestFit="1" customWidth="1"/>
    <col min="91" max="91" width="8.140625" bestFit="1" customWidth="1"/>
    <col min="92" max="92" width="9.85546875" bestFit="1" customWidth="1"/>
    <col min="93" max="93" width="8.85546875" bestFit="1" customWidth="1"/>
    <col min="94" max="94" width="7.42578125" bestFit="1" customWidth="1"/>
    <col min="95" max="95" width="9.42578125" bestFit="1" customWidth="1"/>
    <col min="96" max="96" width="8.85546875" bestFit="1" customWidth="1"/>
    <col min="97" max="97" width="7.42578125" bestFit="1" customWidth="1"/>
    <col min="98" max="98" width="10" bestFit="1" customWidth="1"/>
    <col min="99" max="99" width="12.85546875" bestFit="1" customWidth="1"/>
    <col min="100" max="100" width="14.28515625" customWidth="1"/>
    <col min="101" max="101" width="8.5703125" customWidth="1"/>
    <col min="102" max="102" width="10.5703125" bestFit="1" customWidth="1"/>
    <col min="103" max="103" width="16.85546875" bestFit="1" customWidth="1"/>
    <col min="104" max="104" width="10.42578125" bestFit="1" customWidth="1"/>
    <col min="105" max="105" width="11.28515625" bestFit="1" customWidth="1"/>
    <col min="106" max="106" width="9.42578125" customWidth="1"/>
    <col min="107" max="107" width="9.140625" customWidth="1"/>
    <col min="108" max="108" width="11.28515625" bestFit="1" customWidth="1"/>
    <col min="109" max="109" width="9.140625" customWidth="1"/>
    <col min="110" max="110" width="9.85546875" bestFit="1" customWidth="1"/>
    <col min="111" max="111" width="12" customWidth="1"/>
    <col min="112" max="112" width="9.42578125" customWidth="1"/>
    <col min="113" max="113" width="7.5703125" bestFit="1" customWidth="1"/>
    <col min="114" max="114" width="8.28515625" bestFit="1" customWidth="1"/>
    <col min="115" max="115" width="7.42578125" bestFit="1" customWidth="1"/>
    <col min="116" max="116" width="7.5703125" bestFit="1" customWidth="1"/>
    <col min="117" max="117" width="8.28515625" bestFit="1" customWidth="1"/>
    <col min="118" max="118" width="7.42578125" bestFit="1" customWidth="1"/>
    <col min="119" max="119" width="9.85546875" bestFit="1" customWidth="1"/>
    <col min="120" max="120" width="12" customWidth="1"/>
    <col min="121" max="121" width="9.42578125" customWidth="1"/>
    <col min="122" max="122" width="8" bestFit="1" customWidth="1"/>
    <col min="123" max="123" width="12.85546875" bestFit="1" customWidth="1"/>
    <col min="124" max="124" width="9.140625" customWidth="1"/>
    <col min="125" max="125" width="8.85546875" bestFit="1" customWidth="1"/>
    <col min="126" max="126" width="8.85546875" customWidth="1"/>
    <col min="127" max="127" width="7.42578125" bestFit="1" customWidth="1"/>
    <col min="128" max="128" width="6.28515625" customWidth="1"/>
    <col min="129" max="129" width="8.85546875" customWidth="1"/>
    <col min="130" max="130" width="7.42578125" bestFit="1" customWidth="1"/>
    <col min="131" max="131" width="6.28515625" customWidth="1"/>
    <col min="132" max="132" width="8.85546875" customWidth="1"/>
    <col min="133" max="133" width="7.42578125" bestFit="1" customWidth="1"/>
    <col min="134" max="134" width="9.85546875" bestFit="1" customWidth="1"/>
    <col min="135" max="135" width="9.42578125" bestFit="1" customWidth="1"/>
    <col min="136" max="136" width="7.42578125" bestFit="1" customWidth="1"/>
    <col min="137" max="137" width="8" bestFit="1" customWidth="1"/>
    <col min="138" max="138" width="12.85546875" bestFit="1" customWidth="1"/>
    <col min="139" max="139" width="9.140625" customWidth="1"/>
    <col min="140" max="140" width="8.28515625" customWidth="1"/>
    <col min="141" max="141" width="8.85546875" customWidth="1"/>
    <col min="142" max="142" width="7.42578125" bestFit="1" customWidth="1"/>
    <col min="143" max="143" width="6.28515625" customWidth="1"/>
    <col min="144" max="144" width="8.85546875" customWidth="1"/>
    <col min="145" max="145" width="7.42578125" bestFit="1" customWidth="1"/>
    <col min="146" max="146" width="6.28515625" customWidth="1"/>
    <col min="147" max="147" width="8.85546875" customWidth="1"/>
    <col min="148" max="148" width="7.42578125" bestFit="1" customWidth="1"/>
    <col min="149" max="149" width="9.85546875" bestFit="1" customWidth="1"/>
    <col min="150" max="150" width="9.42578125" bestFit="1" customWidth="1"/>
    <col min="151" max="151" width="7.42578125" bestFit="1" customWidth="1"/>
    <col min="152" max="152" width="8" bestFit="1" customWidth="1"/>
    <col min="153" max="153" width="11.28515625" bestFit="1" customWidth="1"/>
    <col min="154" max="154" width="9.140625" customWidth="1"/>
    <col min="155" max="155" width="7.85546875" bestFit="1" customWidth="1"/>
    <col min="156" max="156" width="8.85546875" customWidth="1"/>
    <col min="157" max="157" width="7.42578125" bestFit="1" customWidth="1"/>
    <col min="158" max="158" width="8.28515625" bestFit="1" customWidth="1"/>
    <col min="159" max="159" width="8.85546875" bestFit="1" customWidth="1"/>
    <col min="160" max="160" width="7.42578125" bestFit="1" customWidth="1"/>
    <col min="161" max="162" width="8.28515625" bestFit="1" customWidth="1"/>
    <col min="163" max="163" width="7.42578125" bestFit="1" customWidth="1"/>
    <col min="164" max="164" width="9.85546875" bestFit="1" customWidth="1"/>
    <col min="165" max="165" width="9" bestFit="1" customWidth="1"/>
    <col min="166" max="166" width="7.42578125" bestFit="1" customWidth="1"/>
    <col min="167" max="167" width="8.28515625" bestFit="1" customWidth="1"/>
    <col min="168" max="168" width="12.85546875" bestFit="1" customWidth="1"/>
    <col min="169" max="169" width="9.140625" customWidth="1"/>
    <col min="170" max="170" width="7.7109375" bestFit="1" customWidth="1"/>
    <col min="171" max="171" width="8.28515625" bestFit="1" customWidth="1"/>
    <col min="172" max="172" width="7.42578125" bestFit="1" customWidth="1"/>
    <col min="173" max="173" width="6.5703125" bestFit="1" customWidth="1"/>
    <col min="174" max="174" width="9" bestFit="1" customWidth="1"/>
    <col min="175" max="175" width="7.42578125" bestFit="1" customWidth="1"/>
    <col min="176" max="176" width="6.5703125" bestFit="1" customWidth="1"/>
    <col min="177" max="177" width="9" bestFit="1" customWidth="1"/>
    <col min="178" max="178" width="7.42578125" bestFit="1" customWidth="1"/>
    <col min="179" max="179" width="9.85546875" bestFit="1" customWidth="1"/>
    <col min="180" max="180" width="9" bestFit="1" customWidth="1"/>
    <col min="181" max="181" width="7.42578125" bestFit="1" customWidth="1"/>
    <col min="182" max="182" width="8" customWidth="1"/>
    <col min="183" max="183" width="12.85546875" bestFit="1" customWidth="1"/>
    <col min="184" max="184" width="9.140625" customWidth="1"/>
    <col min="185" max="185" width="6.85546875" bestFit="1" customWidth="1"/>
    <col min="186" max="186" width="8.85546875" bestFit="1" customWidth="1"/>
    <col min="187" max="187" width="7.42578125" bestFit="1" customWidth="1"/>
    <col min="188" max="188" width="7.28515625" bestFit="1" customWidth="1"/>
    <col min="189" max="189" width="8.85546875" bestFit="1" customWidth="1"/>
    <col min="190" max="190" width="7.42578125" bestFit="1" customWidth="1"/>
    <col min="191" max="191" width="7.28515625" bestFit="1" customWidth="1"/>
    <col min="192" max="192" width="8.28515625" bestFit="1" customWidth="1"/>
    <col min="193" max="193" width="7.42578125" bestFit="1" customWidth="1"/>
    <col min="194" max="194" width="9.85546875" bestFit="1" customWidth="1"/>
    <col min="195" max="195" width="9" bestFit="1" customWidth="1"/>
    <col min="196" max="196" width="7.42578125" bestFit="1" customWidth="1"/>
    <col min="197" max="197" width="9.7109375" bestFit="1" customWidth="1"/>
    <col min="198" max="198" width="12" bestFit="1" customWidth="1"/>
    <col min="199" max="199" width="9.140625" customWidth="1"/>
    <col min="200" max="200" width="9.5703125" bestFit="1" customWidth="1"/>
    <col min="201" max="201" width="8.85546875" bestFit="1" customWidth="1"/>
    <col min="202" max="202" width="7.42578125" bestFit="1" customWidth="1"/>
    <col min="203" max="203" width="7.5703125" bestFit="1" customWidth="1"/>
    <col min="204" max="204" width="8.85546875" bestFit="1" customWidth="1"/>
    <col min="205" max="205" width="7.42578125" bestFit="1" customWidth="1"/>
    <col min="206" max="206" width="7.5703125" bestFit="1" customWidth="1"/>
    <col min="207" max="207" width="8.85546875" bestFit="1" customWidth="1"/>
    <col min="208" max="208" width="7.42578125" bestFit="1" customWidth="1"/>
    <col min="209" max="209" width="9.85546875" bestFit="1" customWidth="1"/>
    <col min="210" max="210" width="9" bestFit="1" customWidth="1"/>
    <col min="211" max="211" width="7.42578125" bestFit="1" customWidth="1"/>
    <col min="212" max="212" width="10.28515625" bestFit="1" customWidth="1"/>
    <col min="213" max="213" width="9" bestFit="1" customWidth="1"/>
    <col min="214" max="214" width="12.5703125" bestFit="1" customWidth="1"/>
  </cols>
  <sheetData>
    <row r="1" spans="1:214" ht="13.5" thickTop="1" x14ac:dyDescent="0.2">
      <c r="A1" s="430" t="s">
        <v>413</v>
      </c>
      <c r="B1" s="431"/>
      <c r="C1" s="432"/>
      <c r="D1" s="98" t="s">
        <v>3</v>
      </c>
      <c r="E1" s="99"/>
      <c r="F1" s="99" t="s">
        <v>423</v>
      </c>
      <c r="G1" s="260" t="s">
        <v>3</v>
      </c>
      <c r="H1" s="114"/>
      <c r="I1" s="114" t="s">
        <v>423</v>
      </c>
      <c r="J1" s="257" t="s">
        <v>3</v>
      </c>
      <c r="K1" s="104"/>
      <c r="L1" s="105" t="s">
        <v>423</v>
      </c>
      <c r="M1" s="117" t="s">
        <v>13</v>
      </c>
      <c r="N1" s="118" t="s">
        <v>14</v>
      </c>
      <c r="O1" s="118" t="s">
        <v>423</v>
      </c>
      <c r="P1" s="252" t="s">
        <v>13</v>
      </c>
      <c r="Q1" s="118" t="s">
        <v>141</v>
      </c>
      <c r="R1" s="118" t="s">
        <v>423</v>
      </c>
      <c r="S1" s="252" t="s">
        <v>13</v>
      </c>
      <c r="T1" s="118" t="s">
        <v>16</v>
      </c>
      <c r="U1" s="119" t="s">
        <v>423</v>
      </c>
      <c r="V1" s="88" t="s">
        <v>1</v>
      </c>
      <c r="W1" s="89" t="s">
        <v>2</v>
      </c>
      <c r="X1" s="89" t="s">
        <v>423</v>
      </c>
      <c r="Y1" s="248" t="s">
        <v>1</v>
      </c>
      <c r="Z1" s="89" t="s">
        <v>4</v>
      </c>
      <c r="AA1" s="90" t="s">
        <v>423</v>
      </c>
      <c r="AB1" s="149" t="s">
        <v>1</v>
      </c>
      <c r="AC1" s="243" t="s">
        <v>4</v>
      </c>
      <c r="AD1" s="240" t="s">
        <v>5</v>
      </c>
      <c r="AE1" s="243" t="s">
        <v>2</v>
      </c>
      <c r="AF1" s="243" t="s">
        <v>7</v>
      </c>
      <c r="AG1" s="240" t="s">
        <v>6</v>
      </c>
      <c r="AH1" s="163" t="s">
        <v>15</v>
      </c>
      <c r="AI1" s="133" t="s">
        <v>13</v>
      </c>
      <c r="AJ1" s="134" t="s">
        <v>14</v>
      </c>
      <c r="AK1" s="134" t="s">
        <v>423</v>
      </c>
      <c r="AL1" s="233" t="s">
        <v>13</v>
      </c>
      <c r="AM1" s="134" t="s">
        <v>141</v>
      </c>
      <c r="AN1" s="134" t="s">
        <v>423</v>
      </c>
      <c r="AO1" s="233" t="s">
        <v>13</v>
      </c>
      <c r="AP1" s="134" t="s">
        <v>16</v>
      </c>
      <c r="AQ1" s="135" t="s">
        <v>423</v>
      </c>
      <c r="AR1" s="141" t="s">
        <v>13</v>
      </c>
      <c r="AS1" s="142" t="s">
        <v>14</v>
      </c>
      <c r="AT1" s="142" t="s">
        <v>423</v>
      </c>
      <c r="AU1" s="236" t="s">
        <v>13</v>
      </c>
      <c r="AV1" s="142" t="s">
        <v>141</v>
      </c>
      <c r="AW1" s="142" t="s">
        <v>423</v>
      </c>
      <c r="AX1" s="236" t="s">
        <v>13</v>
      </c>
      <c r="AY1" s="142" t="s">
        <v>16</v>
      </c>
      <c r="AZ1" s="143" t="s">
        <v>423</v>
      </c>
      <c r="BA1" s="141" t="s">
        <v>13</v>
      </c>
      <c r="BB1" s="142" t="s">
        <v>14</v>
      </c>
      <c r="BC1" s="142" t="s">
        <v>423</v>
      </c>
      <c r="BD1" s="236" t="s">
        <v>13</v>
      </c>
      <c r="BE1" s="142" t="s">
        <v>141</v>
      </c>
      <c r="BF1" s="142" t="s">
        <v>423</v>
      </c>
      <c r="BG1" s="236" t="s">
        <v>13</v>
      </c>
      <c r="BH1" s="142" t="s">
        <v>16</v>
      </c>
      <c r="BI1" s="143" t="s">
        <v>423</v>
      </c>
      <c r="BJ1" s="141" t="s">
        <v>13</v>
      </c>
      <c r="BK1" s="142" t="s">
        <v>14</v>
      </c>
      <c r="BL1" s="142" t="s">
        <v>423</v>
      </c>
      <c r="BM1" s="236" t="s">
        <v>13</v>
      </c>
      <c r="BN1" s="142" t="s">
        <v>141</v>
      </c>
      <c r="BO1" s="142" t="s">
        <v>423</v>
      </c>
      <c r="BP1" s="236" t="s">
        <v>13</v>
      </c>
      <c r="BQ1" s="142" t="s">
        <v>16</v>
      </c>
      <c r="BR1" s="143" t="s">
        <v>423</v>
      </c>
      <c r="BS1" s="230" t="s">
        <v>8</v>
      </c>
      <c r="BT1" s="76"/>
      <c r="BU1" s="76" t="s">
        <v>423</v>
      </c>
      <c r="BV1" s="230" t="s">
        <v>8</v>
      </c>
      <c r="BW1" s="76"/>
      <c r="BX1" s="76" t="s">
        <v>423</v>
      </c>
      <c r="BY1" s="230" t="s">
        <v>397</v>
      </c>
      <c r="BZ1" s="76"/>
      <c r="CA1" s="76" t="s">
        <v>423</v>
      </c>
      <c r="CB1" s="230" t="s">
        <v>8</v>
      </c>
      <c r="CC1" s="76" t="s">
        <v>14</v>
      </c>
      <c r="CD1" s="76" t="s">
        <v>423</v>
      </c>
      <c r="CE1" s="230" t="s">
        <v>8</v>
      </c>
      <c r="CF1" s="76" t="s">
        <v>141</v>
      </c>
      <c r="CG1" s="76" t="s">
        <v>423</v>
      </c>
      <c r="CH1" s="230" t="s">
        <v>8</v>
      </c>
      <c r="CI1" s="76" t="s">
        <v>16</v>
      </c>
      <c r="CJ1" s="77" t="s">
        <v>423</v>
      </c>
      <c r="CK1" s="230" t="s">
        <v>8</v>
      </c>
      <c r="CL1" s="76" t="s">
        <v>301</v>
      </c>
      <c r="CM1" s="77" t="s">
        <v>423</v>
      </c>
      <c r="CN1" s="230" t="s">
        <v>8</v>
      </c>
      <c r="CO1" s="76" t="s">
        <v>301</v>
      </c>
      <c r="CP1" s="77" t="s">
        <v>423</v>
      </c>
      <c r="CQ1" s="230" t="s">
        <v>8</v>
      </c>
      <c r="CR1" s="76" t="s">
        <v>301</v>
      </c>
      <c r="CS1" s="77" t="s">
        <v>423</v>
      </c>
      <c r="CT1" s="382" t="s">
        <v>295</v>
      </c>
      <c r="CU1" s="383"/>
      <c r="CV1" s="384" t="s">
        <v>423</v>
      </c>
      <c r="CW1" s="265" t="s">
        <v>295</v>
      </c>
      <c r="CX1" s="174"/>
      <c r="CY1" s="174" t="s">
        <v>423</v>
      </c>
      <c r="CZ1" s="268" t="s">
        <v>9</v>
      </c>
      <c r="DA1" s="178"/>
      <c r="DB1" s="179" t="s">
        <v>423</v>
      </c>
      <c r="DC1" s="307" t="s">
        <v>9</v>
      </c>
      <c r="DD1" s="307"/>
      <c r="DE1" s="307" t="s">
        <v>423</v>
      </c>
      <c r="DF1" s="27" t="s">
        <v>9</v>
      </c>
      <c r="DG1" s="28" t="s">
        <v>10</v>
      </c>
      <c r="DH1" s="28" t="s">
        <v>423</v>
      </c>
      <c r="DI1" s="226" t="s">
        <v>9</v>
      </c>
      <c r="DJ1" s="28" t="s">
        <v>11</v>
      </c>
      <c r="DK1" s="28" t="s">
        <v>423</v>
      </c>
      <c r="DL1" s="226" t="s">
        <v>9</v>
      </c>
      <c r="DM1" s="28" t="s">
        <v>12</v>
      </c>
      <c r="DN1" s="28" t="s">
        <v>423</v>
      </c>
      <c r="DO1" s="226" t="s">
        <v>9</v>
      </c>
      <c r="DP1" s="28" t="s">
        <v>12</v>
      </c>
      <c r="DQ1" s="29" t="s">
        <v>423</v>
      </c>
      <c r="DR1" s="23" t="s">
        <v>9</v>
      </c>
      <c r="DS1" s="23"/>
      <c r="DT1" s="23" t="s">
        <v>423</v>
      </c>
      <c r="DU1" s="315" t="s">
        <v>9</v>
      </c>
      <c r="DV1" s="316" t="s">
        <v>10</v>
      </c>
      <c r="DW1" s="316" t="s">
        <v>423</v>
      </c>
      <c r="DX1" s="317" t="s">
        <v>9</v>
      </c>
      <c r="DY1" s="316" t="s">
        <v>11</v>
      </c>
      <c r="DZ1" s="316" t="s">
        <v>423</v>
      </c>
      <c r="EA1" s="317" t="s">
        <v>9</v>
      </c>
      <c r="EB1" s="316" t="s">
        <v>12</v>
      </c>
      <c r="EC1" s="316" t="s">
        <v>423</v>
      </c>
      <c r="ED1" s="317" t="s">
        <v>9</v>
      </c>
      <c r="EE1" s="316" t="s">
        <v>12</v>
      </c>
      <c r="EF1" s="318" t="s">
        <v>423</v>
      </c>
      <c r="EG1" s="18" t="s">
        <v>9</v>
      </c>
      <c r="EH1" s="18"/>
      <c r="EI1" s="18" t="s">
        <v>423</v>
      </c>
      <c r="EJ1" s="332" t="s">
        <v>9</v>
      </c>
      <c r="EK1" s="333" t="s">
        <v>10</v>
      </c>
      <c r="EL1" s="333" t="s">
        <v>423</v>
      </c>
      <c r="EM1" s="334" t="s">
        <v>9</v>
      </c>
      <c r="EN1" s="333" t="s">
        <v>11</v>
      </c>
      <c r="EO1" s="333" t="s">
        <v>423</v>
      </c>
      <c r="EP1" s="334" t="s">
        <v>9</v>
      </c>
      <c r="EQ1" s="333" t="s">
        <v>12</v>
      </c>
      <c r="ER1" s="333" t="s">
        <v>423</v>
      </c>
      <c r="ES1" s="334" t="s">
        <v>9</v>
      </c>
      <c r="ET1" s="333" t="s">
        <v>12</v>
      </c>
      <c r="EU1" s="335" t="s">
        <v>423</v>
      </c>
      <c r="EV1" s="37" t="s">
        <v>9</v>
      </c>
      <c r="EW1" s="37"/>
      <c r="EX1" s="37" t="s">
        <v>423</v>
      </c>
      <c r="EY1" s="192" t="s">
        <v>9</v>
      </c>
      <c r="EZ1" s="193" t="s">
        <v>10</v>
      </c>
      <c r="FA1" s="193" t="s">
        <v>423</v>
      </c>
      <c r="FB1" s="221" t="s">
        <v>9</v>
      </c>
      <c r="FC1" s="193" t="s">
        <v>11</v>
      </c>
      <c r="FD1" s="193" t="s">
        <v>423</v>
      </c>
      <c r="FE1" s="221" t="s">
        <v>9</v>
      </c>
      <c r="FF1" s="193" t="s">
        <v>12</v>
      </c>
      <c r="FG1" s="193" t="s">
        <v>423</v>
      </c>
      <c r="FH1" s="221" t="s">
        <v>9</v>
      </c>
      <c r="FI1" s="193" t="s">
        <v>12</v>
      </c>
      <c r="FJ1" s="194" t="s">
        <v>423</v>
      </c>
      <c r="FK1" s="41" t="s">
        <v>9</v>
      </c>
      <c r="FL1" s="42"/>
      <c r="FM1" s="43" t="s">
        <v>423</v>
      </c>
      <c r="FN1" s="204" t="s">
        <v>9</v>
      </c>
      <c r="FO1" s="205" t="s">
        <v>10</v>
      </c>
      <c r="FP1" s="205" t="s">
        <v>423</v>
      </c>
      <c r="FQ1" s="216" t="s">
        <v>9</v>
      </c>
      <c r="FR1" s="205" t="s">
        <v>11</v>
      </c>
      <c r="FS1" s="205" t="s">
        <v>423</v>
      </c>
      <c r="FT1" s="216" t="s">
        <v>9</v>
      </c>
      <c r="FU1" s="205" t="s">
        <v>12</v>
      </c>
      <c r="FV1" s="205" t="s">
        <v>423</v>
      </c>
      <c r="FW1" s="216" t="s">
        <v>9</v>
      </c>
      <c r="FX1" s="205" t="s">
        <v>12</v>
      </c>
      <c r="FY1" s="206" t="s">
        <v>423</v>
      </c>
      <c r="FZ1" s="53" t="s">
        <v>9</v>
      </c>
      <c r="GA1" s="54"/>
      <c r="GB1" s="55" t="s">
        <v>423</v>
      </c>
      <c r="GC1" s="272" t="s">
        <v>9</v>
      </c>
      <c r="GD1" s="273" t="s">
        <v>10</v>
      </c>
      <c r="GE1" s="273" t="s">
        <v>423</v>
      </c>
      <c r="GF1" s="284" t="s">
        <v>9</v>
      </c>
      <c r="GG1" s="273" t="s">
        <v>11</v>
      </c>
      <c r="GH1" s="273" t="s">
        <v>423</v>
      </c>
      <c r="GI1" s="284" t="s">
        <v>9</v>
      </c>
      <c r="GJ1" s="273" t="s">
        <v>12</v>
      </c>
      <c r="GK1" s="273" t="s">
        <v>423</v>
      </c>
      <c r="GL1" s="284" t="s">
        <v>9</v>
      </c>
      <c r="GM1" s="273" t="s">
        <v>12</v>
      </c>
      <c r="GN1" s="274" t="s">
        <v>423</v>
      </c>
      <c r="GO1" s="65" t="s">
        <v>9</v>
      </c>
      <c r="GP1" s="66"/>
      <c r="GQ1" s="67" t="s">
        <v>423</v>
      </c>
      <c r="GR1" s="288" t="s">
        <v>9</v>
      </c>
      <c r="GS1" s="289" t="s">
        <v>10</v>
      </c>
      <c r="GT1" s="289" t="s">
        <v>423</v>
      </c>
      <c r="GU1" s="296" t="s">
        <v>9</v>
      </c>
      <c r="GV1" s="289" t="s">
        <v>11</v>
      </c>
      <c r="GW1" s="289" t="s">
        <v>423</v>
      </c>
      <c r="GX1" s="296" t="s">
        <v>9</v>
      </c>
      <c r="GY1" s="289" t="s">
        <v>12</v>
      </c>
      <c r="GZ1" s="289" t="s">
        <v>423</v>
      </c>
      <c r="HA1" s="296" t="s">
        <v>9</v>
      </c>
      <c r="HB1" s="289" t="s">
        <v>12</v>
      </c>
      <c r="HC1" s="289" t="s">
        <v>423</v>
      </c>
      <c r="HD1" s="157" t="s">
        <v>456</v>
      </c>
      <c r="HE1" s="158" t="s">
        <v>423</v>
      </c>
      <c r="HF1" s="159" t="s">
        <v>17</v>
      </c>
    </row>
    <row r="2" spans="1:214" x14ac:dyDescent="0.2">
      <c r="A2" s="433"/>
      <c r="B2" s="434"/>
      <c r="C2" s="435"/>
      <c r="D2" s="100" t="s">
        <v>18</v>
      </c>
      <c r="E2" s="101" t="s">
        <v>456</v>
      </c>
      <c r="F2" s="101" t="s">
        <v>19</v>
      </c>
      <c r="G2" s="261" t="s">
        <v>20</v>
      </c>
      <c r="H2" s="115" t="s">
        <v>456</v>
      </c>
      <c r="I2" s="115" t="s">
        <v>21</v>
      </c>
      <c r="J2" s="258" t="s">
        <v>11</v>
      </c>
      <c r="K2" s="107" t="s">
        <v>456</v>
      </c>
      <c r="L2" s="108" t="s">
        <v>22</v>
      </c>
      <c r="M2" s="120" t="s">
        <v>32</v>
      </c>
      <c r="N2" s="121" t="s">
        <v>33</v>
      </c>
      <c r="O2" s="131" t="s">
        <v>22</v>
      </c>
      <c r="P2" s="253" t="s">
        <v>32</v>
      </c>
      <c r="Q2" s="121" t="s">
        <v>33</v>
      </c>
      <c r="R2" s="131" t="s">
        <v>22</v>
      </c>
      <c r="S2" s="253" t="s">
        <v>32</v>
      </c>
      <c r="T2" s="121" t="s">
        <v>33</v>
      </c>
      <c r="U2" s="122" t="s">
        <v>22</v>
      </c>
      <c r="V2" s="91" t="s">
        <v>18</v>
      </c>
      <c r="W2" s="92" t="s">
        <v>456</v>
      </c>
      <c r="X2" s="92" t="s">
        <v>19</v>
      </c>
      <c r="Y2" s="249" t="s">
        <v>18</v>
      </c>
      <c r="Z2" s="92" t="s">
        <v>456</v>
      </c>
      <c r="AA2" s="93" t="s">
        <v>19</v>
      </c>
      <c r="AB2" s="150" t="s">
        <v>11</v>
      </c>
      <c r="AC2" s="244" t="s">
        <v>456</v>
      </c>
      <c r="AD2" s="83" t="s">
        <v>456</v>
      </c>
      <c r="AE2" s="244" t="s">
        <v>456</v>
      </c>
      <c r="AF2" s="244" t="s">
        <v>456</v>
      </c>
      <c r="AG2" s="83" t="s">
        <v>456</v>
      </c>
      <c r="AH2" s="164" t="s">
        <v>22</v>
      </c>
      <c r="AI2" s="136" t="s">
        <v>5</v>
      </c>
      <c r="AJ2" s="84" t="s">
        <v>34</v>
      </c>
      <c r="AK2" s="151" t="s">
        <v>22</v>
      </c>
      <c r="AL2" s="234" t="s">
        <v>5</v>
      </c>
      <c r="AM2" s="84" t="s">
        <v>34</v>
      </c>
      <c r="AN2" s="151" t="s">
        <v>22</v>
      </c>
      <c r="AO2" s="234" t="s">
        <v>5</v>
      </c>
      <c r="AP2" s="84" t="s">
        <v>34</v>
      </c>
      <c r="AQ2" s="137" t="s">
        <v>22</v>
      </c>
      <c r="AR2" s="144" t="s">
        <v>2</v>
      </c>
      <c r="AS2" s="86" t="s">
        <v>34</v>
      </c>
      <c r="AT2" s="152" t="s">
        <v>22</v>
      </c>
      <c r="AU2" s="237" t="s">
        <v>2</v>
      </c>
      <c r="AV2" s="86" t="s">
        <v>34</v>
      </c>
      <c r="AW2" s="152" t="s">
        <v>22</v>
      </c>
      <c r="AX2" s="237" t="s">
        <v>2</v>
      </c>
      <c r="AY2" s="86" t="s">
        <v>34</v>
      </c>
      <c r="AZ2" s="145" t="s">
        <v>22</v>
      </c>
      <c r="BA2" s="144" t="s">
        <v>4</v>
      </c>
      <c r="BB2" s="86" t="s">
        <v>34</v>
      </c>
      <c r="BC2" s="152" t="s">
        <v>22</v>
      </c>
      <c r="BD2" s="237" t="s">
        <v>4</v>
      </c>
      <c r="BE2" s="86" t="s">
        <v>34</v>
      </c>
      <c r="BF2" s="152" t="s">
        <v>22</v>
      </c>
      <c r="BG2" s="237" t="s">
        <v>4</v>
      </c>
      <c r="BH2" s="86" t="s">
        <v>34</v>
      </c>
      <c r="BI2" s="145" t="s">
        <v>22</v>
      </c>
      <c r="BJ2" s="144" t="s">
        <v>222</v>
      </c>
      <c r="BK2" s="86" t="s">
        <v>34</v>
      </c>
      <c r="BL2" s="152" t="s">
        <v>22</v>
      </c>
      <c r="BM2" s="237" t="s">
        <v>222</v>
      </c>
      <c r="BN2" s="86" t="s">
        <v>34</v>
      </c>
      <c r="BO2" s="152" t="s">
        <v>22</v>
      </c>
      <c r="BP2" s="237" t="s">
        <v>222</v>
      </c>
      <c r="BQ2" s="86" t="s">
        <v>34</v>
      </c>
      <c r="BR2" s="145" t="s">
        <v>22</v>
      </c>
      <c r="BS2" s="231" t="s">
        <v>18</v>
      </c>
      <c r="BT2" s="78" t="s">
        <v>456</v>
      </c>
      <c r="BU2" s="155" t="s">
        <v>19</v>
      </c>
      <c r="BV2" s="231" t="s">
        <v>23</v>
      </c>
      <c r="BW2" s="78" t="s">
        <v>456</v>
      </c>
      <c r="BX2" s="155" t="s">
        <v>21</v>
      </c>
      <c r="BY2" s="231" t="s">
        <v>11</v>
      </c>
      <c r="BZ2" s="78" t="s">
        <v>456</v>
      </c>
      <c r="CA2" s="155" t="s">
        <v>22</v>
      </c>
      <c r="CB2" s="231" t="s">
        <v>32</v>
      </c>
      <c r="CC2" s="78" t="s">
        <v>13</v>
      </c>
      <c r="CD2" s="155" t="s">
        <v>22</v>
      </c>
      <c r="CE2" s="231" t="s">
        <v>32</v>
      </c>
      <c r="CF2" s="78" t="s">
        <v>13</v>
      </c>
      <c r="CG2" s="155" t="s">
        <v>22</v>
      </c>
      <c r="CH2" s="231" t="s">
        <v>32</v>
      </c>
      <c r="CI2" s="78" t="s">
        <v>13</v>
      </c>
      <c r="CJ2" s="79" t="s">
        <v>22</v>
      </c>
      <c r="CK2" s="231" t="s">
        <v>303</v>
      </c>
      <c r="CL2" s="78"/>
      <c r="CM2" s="79" t="s">
        <v>22</v>
      </c>
      <c r="CN2" s="231" t="s">
        <v>11</v>
      </c>
      <c r="CO2" s="78"/>
      <c r="CP2" s="79" t="s">
        <v>22</v>
      </c>
      <c r="CQ2" s="231" t="s">
        <v>10</v>
      </c>
      <c r="CR2" s="78"/>
      <c r="CS2" s="79" t="s">
        <v>22</v>
      </c>
      <c r="CT2" s="385" t="s">
        <v>11</v>
      </c>
      <c r="CU2" s="386" t="s">
        <v>456</v>
      </c>
      <c r="CV2" s="387" t="s">
        <v>22</v>
      </c>
      <c r="CW2" s="266" t="s">
        <v>18</v>
      </c>
      <c r="CX2" s="175" t="s">
        <v>456</v>
      </c>
      <c r="CY2" s="175" t="s">
        <v>19</v>
      </c>
      <c r="CZ2" s="269" t="s">
        <v>20</v>
      </c>
      <c r="DA2" s="180" t="s">
        <v>456</v>
      </c>
      <c r="DB2" s="181" t="s">
        <v>25</v>
      </c>
      <c r="DC2" s="308" t="s">
        <v>26</v>
      </c>
      <c r="DD2" s="308" t="s">
        <v>456</v>
      </c>
      <c r="DE2" s="308" t="s">
        <v>25</v>
      </c>
      <c r="DF2" s="30" t="s">
        <v>26</v>
      </c>
      <c r="DG2" s="31" t="s">
        <v>456</v>
      </c>
      <c r="DH2" s="31" t="s">
        <v>29</v>
      </c>
      <c r="DI2" s="227" t="s">
        <v>26</v>
      </c>
      <c r="DJ2" s="31" t="s">
        <v>456</v>
      </c>
      <c r="DK2" s="31" t="s">
        <v>29</v>
      </c>
      <c r="DL2" s="227" t="s">
        <v>26</v>
      </c>
      <c r="DM2" s="31" t="s">
        <v>30</v>
      </c>
      <c r="DN2" s="31" t="s">
        <v>29</v>
      </c>
      <c r="DO2" s="227" t="s">
        <v>26</v>
      </c>
      <c r="DP2" s="31" t="s">
        <v>31</v>
      </c>
      <c r="DQ2" s="32" t="s">
        <v>29</v>
      </c>
      <c r="DR2" s="24" t="s">
        <v>27</v>
      </c>
      <c r="DS2" s="24" t="s">
        <v>456</v>
      </c>
      <c r="DT2" s="24" t="s">
        <v>25</v>
      </c>
      <c r="DU2" s="319" t="s">
        <v>27</v>
      </c>
      <c r="DV2" s="320" t="s">
        <v>456</v>
      </c>
      <c r="DW2" s="320" t="s">
        <v>29</v>
      </c>
      <c r="DX2" s="314" t="s">
        <v>27</v>
      </c>
      <c r="DY2" s="320" t="s">
        <v>456</v>
      </c>
      <c r="DZ2" s="320" t="s">
        <v>29</v>
      </c>
      <c r="EA2" s="314" t="s">
        <v>27</v>
      </c>
      <c r="EB2" s="320" t="s">
        <v>30</v>
      </c>
      <c r="EC2" s="320" t="s">
        <v>29</v>
      </c>
      <c r="ED2" s="314" t="s">
        <v>27</v>
      </c>
      <c r="EE2" s="320" t="s">
        <v>31</v>
      </c>
      <c r="EF2" s="321" t="s">
        <v>29</v>
      </c>
      <c r="EG2" s="19" t="s">
        <v>28</v>
      </c>
      <c r="EH2" s="19" t="s">
        <v>456</v>
      </c>
      <c r="EI2" s="19" t="s">
        <v>25</v>
      </c>
      <c r="EJ2" s="336" t="s">
        <v>28</v>
      </c>
      <c r="EK2" s="337" t="s">
        <v>456</v>
      </c>
      <c r="EL2" s="337" t="s">
        <v>29</v>
      </c>
      <c r="EM2" s="331" t="s">
        <v>28</v>
      </c>
      <c r="EN2" s="337" t="s">
        <v>456</v>
      </c>
      <c r="EO2" s="337" t="s">
        <v>29</v>
      </c>
      <c r="EP2" s="331" t="s">
        <v>28</v>
      </c>
      <c r="EQ2" s="337" t="s">
        <v>30</v>
      </c>
      <c r="ER2" s="337" t="s">
        <v>29</v>
      </c>
      <c r="ES2" s="331" t="s">
        <v>28</v>
      </c>
      <c r="ET2" s="337" t="s">
        <v>31</v>
      </c>
      <c r="EU2" s="338" t="s">
        <v>29</v>
      </c>
      <c r="EV2" s="38" t="s">
        <v>230</v>
      </c>
      <c r="EW2" s="38" t="s">
        <v>456</v>
      </c>
      <c r="EX2" s="38" t="s">
        <v>25</v>
      </c>
      <c r="EY2" s="195" t="s">
        <v>230</v>
      </c>
      <c r="EZ2" s="196" t="s">
        <v>456</v>
      </c>
      <c r="FA2" s="196" t="s">
        <v>29</v>
      </c>
      <c r="FB2" s="222" t="s">
        <v>230</v>
      </c>
      <c r="FC2" s="196" t="s">
        <v>456</v>
      </c>
      <c r="FD2" s="196" t="s">
        <v>29</v>
      </c>
      <c r="FE2" s="222" t="s">
        <v>230</v>
      </c>
      <c r="FF2" s="196" t="s">
        <v>30</v>
      </c>
      <c r="FG2" s="196" t="s">
        <v>29</v>
      </c>
      <c r="FH2" s="222" t="s">
        <v>230</v>
      </c>
      <c r="FI2" s="196" t="s">
        <v>31</v>
      </c>
      <c r="FJ2" s="197" t="s">
        <v>29</v>
      </c>
      <c r="FK2" s="44" t="s">
        <v>150</v>
      </c>
      <c r="FL2" s="45" t="s">
        <v>456</v>
      </c>
      <c r="FM2" s="46" t="s">
        <v>25</v>
      </c>
      <c r="FN2" s="207" t="s">
        <v>150</v>
      </c>
      <c r="FO2" s="208" t="s">
        <v>456</v>
      </c>
      <c r="FP2" s="208" t="s">
        <v>29</v>
      </c>
      <c r="FQ2" s="217" t="s">
        <v>150</v>
      </c>
      <c r="FR2" s="208" t="s">
        <v>456</v>
      </c>
      <c r="FS2" s="208" t="s">
        <v>29</v>
      </c>
      <c r="FT2" s="217" t="s">
        <v>150</v>
      </c>
      <c r="FU2" s="208" t="s">
        <v>30</v>
      </c>
      <c r="FV2" s="208" t="s">
        <v>29</v>
      </c>
      <c r="FW2" s="217" t="s">
        <v>150</v>
      </c>
      <c r="FX2" s="208" t="s">
        <v>31</v>
      </c>
      <c r="FY2" s="209" t="s">
        <v>29</v>
      </c>
      <c r="FZ2" s="56" t="s">
        <v>231</v>
      </c>
      <c r="GA2" s="57" t="s">
        <v>456</v>
      </c>
      <c r="GB2" s="58" t="s">
        <v>25</v>
      </c>
      <c r="GC2" s="275" t="s">
        <v>231</v>
      </c>
      <c r="GD2" s="276" t="s">
        <v>456</v>
      </c>
      <c r="GE2" s="276" t="s">
        <v>29</v>
      </c>
      <c r="GF2" s="285" t="s">
        <v>231</v>
      </c>
      <c r="GG2" s="276" t="s">
        <v>456</v>
      </c>
      <c r="GH2" s="276" t="s">
        <v>29</v>
      </c>
      <c r="GI2" s="285" t="s">
        <v>231</v>
      </c>
      <c r="GJ2" s="276" t="s">
        <v>30</v>
      </c>
      <c r="GK2" s="276" t="s">
        <v>29</v>
      </c>
      <c r="GL2" s="285" t="s">
        <v>231</v>
      </c>
      <c r="GM2" s="276" t="s">
        <v>31</v>
      </c>
      <c r="GN2" s="277" t="s">
        <v>29</v>
      </c>
      <c r="GO2" s="22" t="s">
        <v>232</v>
      </c>
      <c r="GP2" s="68" t="s">
        <v>456</v>
      </c>
      <c r="GQ2" s="69" t="s">
        <v>25</v>
      </c>
      <c r="GR2" s="290" t="s">
        <v>232</v>
      </c>
      <c r="GS2" s="291" t="s">
        <v>456</v>
      </c>
      <c r="GT2" s="291" t="s">
        <v>29</v>
      </c>
      <c r="GU2" s="297" t="s">
        <v>232</v>
      </c>
      <c r="GV2" s="291" t="s">
        <v>456</v>
      </c>
      <c r="GW2" s="291" t="s">
        <v>29</v>
      </c>
      <c r="GX2" s="297" t="s">
        <v>232</v>
      </c>
      <c r="GY2" s="291" t="s">
        <v>30</v>
      </c>
      <c r="GZ2" s="291" t="s">
        <v>29</v>
      </c>
      <c r="HA2" s="297" t="s">
        <v>232</v>
      </c>
      <c r="HB2" s="291" t="s">
        <v>31</v>
      </c>
      <c r="HC2" s="291" t="s">
        <v>29</v>
      </c>
      <c r="HD2" s="160" t="s">
        <v>22</v>
      </c>
      <c r="HE2" s="161" t="s">
        <v>33</v>
      </c>
      <c r="HF2" s="162" t="s">
        <v>35</v>
      </c>
    </row>
    <row r="3" spans="1:214" x14ac:dyDescent="0.2">
      <c r="A3" s="433"/>
      <c r="B3" s="434"/>
      <c r="C3" s="435"/>
      <c r="D3" s="100" t="s">
        <v>36</v>
      </c>
      <c r="E3" s="408" t="e">
        <f>1/((1/E20)+(1/E21))</f>
        <v>#DIV/0!</v>
      </c>
      <c r="F3" s="168"/>
      <c r="G3" s="261"/>
      <c r="H3" s="408" t="e">
        <f>1/((1/H10)+(1/H11)+(1/H12)+(1/H13))</f>
        <v>#DIV/0!</v>
      </c>
      <c r="I3" s="167"/>
      <c r="J3" s="258"/>
      <c r="K3" s="408" t="e">
        <f>1/((1/K14)+(1/K15)+(1/K16+(1/K17)))</f>
        <v>#DIV/0!</v>
      </c>
      <c r="L3" s="110"/>
      <c r="M3" s="120" t="s">
        <v>475</v>
      </c>
      <c r="N3" s="123">
        <f>(N5*N6*N7)/((1-EXP(-N7*N6))*N10*N15*(N9/365)*N13*((N14*N12)+(N16*N11)))</f>
        <v>2643.5043920770454</v>
      </c>
      <c r="O3" s="131"/>
      <c r="P3" s="253" t="s">
        <v>475</v>
      </c>
      <c r="Q3" s="123">
        <f>(Q5*Q6*Q7)/((1-EXP(-Q7*Q6))*Q10*Q15*(Q9/365)*Q13*((Q14*Q12)+(Q16*Q11)))</f>
        <v>928.54276137473278</v>
      </c>
      <c r="R3" s="131"/>
      <c r="S3" s="253" t="s">
        <v>475</v>
      </c>
      <c r="T3" s="123">
        <f>(T5*T6*T7)/((1-EXP(-T7*T6))*T10*T15*(T9/365)*T13*((T14*T12)+(T16*T11)))</f>
        <v>532504.48185724649</v>
      </c>
      <c r="U3" s="122"/>
      <c r="V3" s="91" t="s">
        <v>37</v>
      </c>
      <c r="W3" s="94" t="e">
        <f>1/((1/W18)+(1/W19))</f>
        <v>#DIV/0!</v>
      </c>
      <c r="X3" s="127"/>
      <c r="Y3" s="250" t="s">
        <v>37</v>
      </c>
      <c r="Z3" s="94" t="e">
        <f>1/((1/Z18)+(1/Z19))</f>
        <v>#DIV/0!</v>
      </c>
      <c r="AA3" s="95"/>
      <c r="AB3" s="150"/>
      <c r="AC3" s="132" t="e">
        <f>1/((1/AC38)+(1/AC39))</f>
        <v>#DIV/0!</v>
      </c>
      <c r="AD3" s="132" t="e">
        <f>1/((1/AD38)+(1/AD39))</f>
        <v>#DIV/0!</v>
      </c>
      <c r="AE3" s="132" t="e">
        <f>1/((1/AE38)+(1/AE39))</f>
        <v>#DIV/0!</v>
      </c>
      <c r="AF3" s="132" t="e">
        <f>1/((1/AF38)+(1/AF39))</f>
        <v>#DIV/0!</v>
      </c>
      <c r="AG3" s="132" t="e">
        <f>1/((1/AG38)+(1/AG39))</f>
        <v>#DIV/0!</v>
      </c>
      <c r="AH3" s="165"/>
      <c r="AI3" s="136" t="s">
        <v>475</v>
      </c>
      <c r="AJ3" s="85">
        <f>(AJ5*AJ6*AJ7)/((1-EXP(-AJ7*AJ6))*AJ10*AJ15*(AJ9/365)*AJ13*((AJ14*AJ12)+(AJ16*AJ11)))</f>
        <v>1708.4932437094492</v>
      </c>
      <c r="AK3" s="151"/>
      <c r="AL3" s="234" t="s">
        <v>475</v>
      </c>
      <c r="AM3" s="85">
        <f>(AM5*AM6*AM7)/((1-EXP(-AM7*AM6))*AM10*AM15*(AM9/365)*AM13*((AM14*AM12)+(AM16*AM11)))</f>
        <v>9335.066176969156</v>
      </c>
      <c r="AN3" s="151"/>
      <c r="AO3" s="234" t="s">
        <v>475</v>
      </c>
      <c r="AP3" s="85">
        <f>(AP5*AP6*AP7)/((1-EXP(-AP7*AP6))*AP10*AP15*(AP9/365)*AP13*((AP14*AP12)+(AP16*AP11)))</f>
        <v>2032.5508847721842</v>
      </c>
      <c r="AQ3" s="137"/>
      <c r="AR3" s="144" t="s">
        <v>475</v>
      </c>
      <c r="AS3" s="87">
        <f>(AS5*AS6*AS7)/((1-EXP(-AS7*AS6))*AS10*AS15*(AS9/365)*AS13*((AS14*AS12)+(AS16*AS11)))</f>
        <v>759.33033053753297</v>
      </c>
      <c r="AT3" s="152"/>
      <c r="AU3" s="237" t="s">
        <v>475</v>
      </c>
      <c r="AV3" s="87">
        <f>(AV5*AV6*AV7)/((1-EXP(-AV7*AV6))*AV10*AV15*(AV9/365)*AV13*((AV14*AV12)+(AV16*AV11)))</f>
        <v>4148.9183008751806</v>
      </c>
      <c r="AW3" s="152"/>
      <c r="AX3" s="237" t="s">
        <v>475</v>
      </c>
      <c r="AY3" s="87">
        <f>(AY5*AY6*AY7)/((1-EXP(-AY7*AY6))*AY10*AY15*(AY9/365)*AY13*((AY14*AY12)+(AY16*AY11)))</f>
        <v>903.35594878763732</v>
      </c>
      <c r="AZ3" s="145"/>
      <c r="BA3" s="144" t="s">
        <v>475</v>
      </c>
      <c r="BB3" s="87">
        <f>(BB5*BB6*BB7)/((1-EXP(-BB7*BB6))*BB10*BB15*(BB9/365)*BB13*((BB14*BB12)+(BB16*BB11)))</f>
        <v>683.39729748377977</v>
      </c>
      <c r="BC3" s="152"/>
      <c r="BD3" s="237" t="s">
        <v>475</v>
      </c>
      <c r="BE3" s="87">
        <f>(BE5*BE6*BE7)/((1-EXP(-BE7*BE6))*BE10*BE15*(BE9/365)*BE13*((BE14*BE12)+(BE16*BE11)))</f>
        <v>3734.0264707876622</v>
      </c>
      <c r="BF3" s="152"/>
      <c r="BG3" s="237" t="s">
        <v>475</v>
      </c>
      <c r="BH3" s="87">
        <f>(BH5*BH6*BH7)/((1-EXP(-BH7*BH6))*BH10*BH15*(BH9/365)*BH13*((BH14*BH12)+(BH16*BH11)))</f>
        <v>813.02035390887374</v>
      </c>
      <c r="BI3" s="145"/>
      <c r="BJ3" s="144" t="s">
        <v>475</v>
      </c>
      <c r="BK3" s="87">
        <f>(BK5*BK6*BK7)/((1-EXP(-BK7*BK6))*BK12*BK16*(BK9/365)*BK14*BK15*BK13)</f>
        <v>150633.38292391258</v>
      </c>
      <c r="BL3" s="152"/>
      <c r="BM3" s="237" t="s">
        <v>475</v>
      </c>
      <c r="BN3" s="87">
        <f>(BN5*BN6*BN7)/((1-EXP(-BN7*BN6))*BN12*BN16*(BN9/365)*BN14*BN15*BN13)</f>
        <v>1718156.4554820084</v>
      </c>
      <c r="BO3" s="152"/>
      <c r="BP3" s="237" t="s">
        <v>475</v>
      </c>
      <c r="BQ3" s="87">
        <f>(BQ5*BQ6*BQ7)/((1-EXP(-BQ7*BQ6))*BQ12*BQ16*(BQ9/365)*BQ14*BQ15*BQ13)</f>
        <v>217367.68545541097</v>
      </c>
      <c r="BR3" s="145"/>
      <c r="BS3" s="231" t="s">
        <v>36</v>
      </c>
      <c r="BT3" s="80" t="e">
        <f>1/((1/BT21)+(1/BT22))</f>
        <v>#DIV/0!</v>
      </c>
      <c r="BU3" s="155"/>
      <c r="BV3" s="231"/>
      <c r="BW3" s="80">
        <f>1/((1/BW12))</f>
        <v>4612954.1864139019</v>
      </c>
      <c r="BX3" s="155"/>
      <c r="BY3" s="231"/>
      <c r="BZ3" s="80" t="e">
        <f>1/((1/BZ13)+(1/BZ14)+(1/BZ15))</f>
        <v>#DIV/0!</v>
      </c>
      <c r="CA3" s="155"/>
      <c r="CB3" s="231" t="s">
        <v>475</v>
      </c>
      <c r="CC3" s="80">
        <f>(CC5*CC6*CC7)/((1-EXP(-CC7*CC6))*CC10*CC14*(CC9/365)*CC12*(CC13/24)*CC11)</f>
        <v>368675.79073717754</v>
      </c>
      <c r="CD3" s="155"/>
      <c r="CE3" s="231" t="s">
        <v>475</v>
      </c>
      <c r="CF3" s="80">
        <f>(CF5*CF6*CF7)/((1-EXP(-CF7*CF6))*CF10*CF14*(CF9/365)*CF12*(CF13/24)*CF11)</f>
        <v>4294298.1874287585</v>
      </c>
      <c r="CG3" s="155"/>
      <c r="CH3" s="231" t="s">
        <v>475</v>
      </c>
      <c r="CI3" s="80">
        <f>(CI5*CI6*CI7)/((1-EXP(-CI7*CI6))*CI10*CI14*(CI9/365)*CI12*(CI13/24)*CI11)</f>
        <v>550772.97798007319</v>
      </c>
      <c r="CJ3" s="79"/>
      <c r="CK3" s="231" t="s">
        <v>456</v>
      </c>
      <c r="CL3" s="80" t="e">
        <f>CL5/(CL6*CL7*CL8*CL9)</f>
        <v>#DIV/0!</v>
      </c>
      <c r="CM3" s="79"/>
      <c r="CN3" s="231" t="s">
        <v>456</v>
      </c>
      <c r="CO3" s="80" t="e">
        <f>CL3/(CO5*((CO10*CO12*CO13*(CO6+CO7))+(CO11*CO12)))</f>
        <v>#DIV/0!</v>
      </c>
      <c r="CP3" s="79"/>
      <c r="CQ3" s="231" t="s">
        <v>456</v>
      </c>
      <c r="CR3" s="80" t="e">
        <f>CL3/(CR5*CR6*(1/CR7))</f>
        <v>#DIV/0!</v>
      </c>
      <c r="CS3" s="79"/>
      <c r="CT3" s="385"/>
      <c r="CU3" s="388" t="e">
        <f>1/((1/CU14)+(1/CU15)+(1/CU16+(1/CU17)))</f>
        <v>#DIV/0!</v>
      </c>
      <c r="CV3" s="389"/>
      <c r="CW3" s="266" t="s">
        <v>36</v>
      </c>
      <c r="CX3" s="176" t="e">
        <f>1/((1/CX20)+(1/CX21))</f>
        <v>#DIV/0!</v>
      </c>
      <c r="CY3" s="263"/>
      <c r="CZ3" s="270"/>
      <c r="DA3" s="182" t="e">
        <f>1/((1/DA13)+(1/DA14)+(1/DA15)+(1/DA16))</f>
        <v>#DIV/0!</v>
      </c>
      <c r="DB3" s="183"/>
      <c r="DC3" s="308"/>
      <c r="DD3" s="313" t="e">
        <f>DD7</f>
        <v>#DIV/0!</v>
      </c>
      <c r="DE3" s="309" t="s">
        <v>384</v>
      </c>
      <c r="DF3" s="30"/>
      <c r="DG3" s="33" t="e">
        <f>DD7/((1/DG24)*(DG5+DG6+DG7))</f>
        <v>#DIV/0!</v>
      </c>
      <c r="DH3" s="186" t="s">
        <v>384</v>
      </c>
      <c r="DI3" s="227"/>
      <c r="DJ3" s="33" t="e">
        <f>DD7/(DJ5+DJ6)</f>
        <v>#DIV/0!</v>
      </c>
      <c r="DK3" s="186" t="s">
        <v>384</v>
      </c>
      <c r="DL3" s="227"/>
      <c r="DM3" s="33" t="e">
        <f>(DD7)/(DM5+DM6)</f>
        <v>#DIV/0!</v>
      </c>
      <c r="DN3" s="186"/>
      <c r="DO3" s="227"/>
      <c r="DP3" s="33">
        <f>-(DP5+DP6+DP7)/(DP23+DP24)</f>
        <v>-49.755719687869203</v>
      </c>
      <c r="DQ3" s="34"/>
      <c r="DR3" s="24"/>
      <c r="DS3" s="25" t="e">
        <f>DS7</f>
        <v>#DIV/0!</v>
      </c>
      <c r="DT3" s="170" t="s">
        <v>384</v>
      </c>
      <c r="DU3" s="319"/>
      <c r="DV3" s="322" t="e">
        <f>DS7/(DV5*DV6)</f>
        <v>#DIV/0!</v>
      </c>
      <c r="DW3" s="323"/>
      <c r="DX3" s="314"/>
      <c r="DY3" s="322" t="e">
        <f>DS7/(DY9*((DY10*DY12*DY13*(DY5+DY6))+(DY11*DY12)))</f>
        <v>#DIV/0!</v>
      </c>
      <c r="DZ3" s="323" t="s">
        <v>384</v>
      </c>
      <c r="EA3" s="314"/>
      <c r="EB3" s="322" t="e">
        <f>DS7/(EB9*((EB10*EB12*EB13*(EB5+EB6))+(EB11*EB12)))</f>
        <v>#DIV/0!</v>
      </c>
      <c r="EC3" s="323"/>
      <c r="ED3" s="314"/>
      <c r="EE3" s="322">
        <f>-EE15/((EE10*EE12*EE13*(EE5+EE6))+(EE11*EE12))</f>
        <v>-19.848975188781015</v>
      </c>
      <c r="EF3" s="324"/>
      <c r="EG3" s="19"/>
      <c r="EH3" s="20" t="e">
        <f>EH7</f>
        <v>#DIV/0!</v>
      </c>
      <c r="EI3" s="189" t="s">
        <v>384</v>
      </c>
      <c r="EJ3" s="336"/>
      <c r="EK3" s="339" t="e">
        <f>EH7/(EK5*EK6)</f>
        <v>#DIV/0!</v>
      </c>
      <c r="EL3" s="340"/>
      <c r="EM3" s="331"/>
      <c r="EN3" s="339" t="e">
        <f>EH7/(EN9*((EN10*EN12*EN13*(EN5+EN6))+(EN11*EN12)))</f>
        <v>#DIV/0!</v>
      </c>
      <c r="EO3" s="340" t="s">
        <v>384</v>
      </c>
      <c r="EP3" s="331"/>
      <c r="EQ3" s="339" t="e">
        <f>EH7/(EQ9*((EQ10*EQ12*EQ13*(EQ5+EQ6))+(EQ11*EQ12)))</f>
        <v>#DIV/0!</v>
      </c>
      <c r="ER3" s="340"/>
      <c r="ES3" s="331"/>
      <c r="ET3" s="339">
        <f>-ET15/((ET10*ET12*ET13*(ET5+ET6))+(ET11*ET12))</f>
        <v>-15.9039759939985</v>
      </c>
      <c r="EU3" s="341"/>
      <c r="EV3" s="191"/>
      <c r="EW3" s="39" t="e">
        <f>EW7</f>
        <v>#DIV/0!</v>
      </c>
      <c r="EX3" s="191" t="s">
        <v>384</v>
      </c>
      <c r="EY3" s="198"/>
      <c r="EZ3" s="199" t="e">
        <f>EW7/(EZ5*EZ6*(1/EZ7))</f>
        <v>#DIV/0!</v>
      </c>
      <c r="FA3" s="199"/>
      <c r="FB3" s="223"/>
      <c r="FC3" s="199" t="e">
        <f>EW7/(FC9*((FC10*FC12*FC13*(FC5+FC6))+(FC11*FC12)))</f>
        <v>#DIV/0!</v>
      </c>
      <c r="FD3" s="220" t="s">
        <v>384</v>
      </c>
      <c r="FE3" s="225"/>
      <c r="FF3" s="199" t="e">
        <f>EW7/(FF9*(FF10*FF12*FF13*(FF5*FF6))+(FF11*FF12))</f>
        <v>#DIV/0!</v>
      </c>
      <c r="FG3" s="199"/>
      <c r="FH3" s="223"/>
      <c r="FI3" s="199">
        <f>FI15/((FI10*FI12*FI13*(FI5+FI6))+(FI11*FI12))</f>
        <v>5.4794520547945202</v>
      </c>
      <c r="FJ3" s="203"/>
      <c r="FK3" s="47"/>
      <c r="FL3" s="48" t="e">
        <f>FL7</f>
        <v>#DIV/0!</v>
      </c>
      <c r="FM3" s="49"/>
      <c r="FN3" s="210"/>
      <c r="FO3" s="211" t="e">
        <f>FL7/(FR5*(1/FO7))</f>
        <v>#DIV/0!</v>
      </c>
      <c r="FP3" s="211"/>
      <c r="FQ3" s="218"/>
      <c r="FR3" s="211" t="e">
        <f>(FL7*FR6)/FR5</f>
        <v>#DIV/0!</v>
      </c>
      <c r="FS3" s="211"/>
      <c r="FT3" s="218"/>
      <c r="FU3" s="211" t="e">
        <f>(FL7*FU15)/FU14</f>
        <v>#DIV/0!</v>
      </c>
      <c r="FV3" s="211"/>
      <c r="FW3" s="218"/>
      <c r="FX3" s="211">
        <f>-FX29/FX30</f>
        <v>-8.199999999999999E-3</v>
      </c>
      <c r="FY3" s="212"/>
      <c r="FZ3" s="59"/>
      <c r="GA3" s="60" t="e">
        <f>GA7</f>
        <v>#DIV/0!</v>
      </c>
      <c r="GB3" s="61" t="s">
        <v>384</v>
      </c>
      <c r="GC3" s="278"/>
      <c r="GD3" s="279" t="e">
        <f>FL7/(GD5*GD6*(1/GD7))</f>
        <v>#DIV/0!</v>
      </c>
      <c r="GE3" s="279"/>
      <c r="GF3" s="286"/>
      <c r="GG3" s="279" t="e">
        <f>GA7/((GG9)*((GG10*GG12*GG13*(GG5+GG6))+(GG11*GG12)))</f>
        <v>#DIV/0!</v>
      </c>
      <c r="GH3" s="279" t="s">
        <v>384</v>
      </c>
      <c r="GI3" s="286"/>
      <c r="GJ3" s="279" t="e">
        <f>FL7/(GJ9*(GJ10*GJ12*GJ13*(GJ5*GJ6))+(GJ11*GJ12))</f>
        <v>#DIV/0!</v>
      </c>
      <c r="GK3" s="279"/>
      <c r="GL3" s="286"/>
      <c r="GM3" s="279">
        <f>GM15/((GM10*GM12*GM13*(GM5+GM6))+(GM11*GM12))</f>
        <v>5.4794520547945202</v>
      </c>
      <c r="GN3" s="280"/>
      <c r="GO3" s="70"/>
      <c r="GP3" s="71" t="e">
        <f>GP7</f>
        <v>#DIV/0!</v>
      </c>
      <c r="GQ3" s="72" t="s">
        <v>384</v>
      </c>
      <c r="GR3" s="292"/>
      <c r="GS3" s="293" t="e">
        <f>GP7/(GS5*GS6*(1/GS7))</f>
        <v>#DIV/0!</v>
      </c>
      <c r="GT3" s="293"/>
      <c r="GU3" s="298"/>
      <c r="GV3" s="293" t="e">
        <f>GP7/((GV9)*((GV10*GV12*GV13*(GV5+GV6))+(GV11*GV12)))</f>
        <v>#DIV/0!</v>
      </c>
      <c r="GW3" s="293" t="s">
        <v>384</v>
      </c>
      <c r="GX3" s="298"/>
      <c r="GY3" s="293" t="e">
        <f>GP7/((GY9*((GY10*GY12*GY13*(GY5+GY6))+(GY11*GY12))))</f>
        <v>#DIV/0!</v>
      </c>
      <c r="GZ3" s="293"/>
      <c r="HA3" s="298"/>
      <c r="HB3" s="293" t="e">
        <f>GP7/((HB10*HB12*HB13*(HB5+HB6))+(HB11*HB12))</f>
        <v>#DIV/0!</v>
      </c>
      <c r="HC3" s="300"/>
      <c r="HD3" s="302">
        <f>HE5*HE13*10^-3*(HE14+(HE9/HE10))*((HE11*HE7)/(1-EXP(-HE7*HE11)))</f>
        <v>2167.2494240641768</v>
      </c>
      <c r="HE3" s="303"/>
      <c r="HF3" s="162" t="s">
        <v>38</v>
      </c>
    </row>
    <row r="4" spans="1:214" ht="13.5" thickBot="1" x14ac:dyDescent="0.25">
      <c r="A4" s="436"/>
      <c r="B4" s="437"/>
      <c r="C4" s="438"/>
      <c r="D4" s="102" t="s">
        <v>37</v>
      </c>
      <c r="E4" s="409" t="e">
        <f>1/((1/E22)+(1/E23))</f>
        <v>#DIV/0!</v>
      </c>
      <c r="F4" s="256"/>
      <c r="G4" s="262"/>
      <c r="H4" s="116"/>
      <c r="I4" s="255"/>
      <c r="J4" s="259" t="s">
        <v>423</v>
      </c>
      <c r="K4" s="112" t="s">
        <v>33</v>
      </c>
      <c r="L4" s="113"/>
      <c r="M4" s="124"/>
      <c r="N4" s="125"/>
      <c r="O4" s="169"/>
      <c r="P4" s="254"/>
      <c r="Q4" s="125"/>
      <c r="R4" s="169"/>
      <c r="S4" s="254"/>
      <c r="T4" s="125"/>
      <c r="U4" s="126"/>
      <c r="V4" s="130" t="s">
        <v>36</v>
      </c>
      <c r="W4" s="96" t="e">
        <f>1/((1/W16)+(1/W17))</f>
        <v>#DIV/0!</v>
      </c>
      <c r="X4" s="128"/>
      <c r="Y4" s="251" t="s">
        <v>36</v>
      </c>
      <c r="Z4" s="96" t="e">
        <f>1/((1/Z16)+(1/Z17))</f>
        <v>#DIV/0!</v>
      </c>
      <c r="AA4" s="97"/>
      <c r="AB4" s="239" t="s">
        <v>423</v>
      </c>
      <c r="AC4" s="246" t="s">
        <v>39</v>
      </c>
      <c r="AD4" s="241" t="s">
        <v>40</v>
      </c>
      <c r="AE4" s="246" t="s">
        <v>41</v>
      </c>
      <c r="AF4" s="247" t="s">
        <v>42</v>
      </c>
      <c r="AG4" s="242" t="s">
        <v>42</v>
      </c>
      <c r="AH4" s="166"/>
      <c r="AI4" s="138" t="s">
        <v>32</v>
      </c>
      <c r="AJ4" s="139"/>
      <c r="AK4" s="153"/>
      <c r="AL4" s="235" t="s">
        <v>32</v>
      </c>
      <c r="AM4" s="139"/>
      <c r="AN4" s="153"/>
      <c r="AO4" s="235" t="s">
        <v>32</v>
      </c>
      <c r="AP4" s="139"/>
      <c r="AQ4" s="140"/>
      <c r="AR4" s="146" t="s">
        <v>32</v>
      </c>
      <c r="AS4" s="147"/>
      <c r="AT4" s="154"/>
      <c r="AU4" s="238" t="s">
        <v>32</v>
      </c>
      <c r="AV4" s="147"/>
      <c r="AW4" s="154"/>
      <c r="AX4" s="238" t="s">
        <v>32</v>
      </c>
      <c r="AY4" s="147"/>
      <c r="AZ4" s="148"/>
      <c r="BA4" s="146" t="s">
        <v>32</v>
      </c>
      <c r="BB4" s="147"/>
      <c r="BC4" s="154"/>
      <c r="BD4" s="238" t="s">
        <v>32</v>
      </c>
      <c r="BE4" s="147"/>
      <c r="BF4" s="154"/>
      <c r="BG4" s="238" t="s">
        <v>32</v>
      </c>
      <c r="BH4" s="147"/>
      <c r="BI4" s="148"/>
      <c r="BJ4" s="146" t="s">
        <v>32</v>
      </c>
      <c r="BK4" s="147"/>
      <c r="BL4" s="154"/>
      <c r="BM4" s="238" t="s">
        <v>32</v>
      </c>
      <c r="BN4" s="147"/>
      <c r="BO4" s="154"/>
      <c r="BP4" s="238" t="s">
        <v>32</v>
      </c>
      <c r="BQ4" s="147"/>
      <c r="BR4" s="148"/>
      <c r="BS4" s="232" t="s">
        <v>37</v>
      </c>
      <c r="BT4" s="81" t="e">
        <f>1/((1/BT23)+(1/BT24))</f>
        <v>#DIV/0!</v>
      </c>
      <c r="BU4" s="156"/>
      <c r="BV4" s="232"/>
      <c r="BW4" s="81"/>
      <c r="BX4" s="156"/>
      <c r="BY4" s="232" t="s">
        <v>423</v>
      </c>
      <c r="BZ4" s="81" t="s">
        <v>33</v>
      </c>
      <c r="CA4" s="156"/>
      <c r="CB4" s="232"/>
      <c r="CC4" s="81"/>
      <c r="CD4" s="156"/>
      <c r="CE4" s="232"/>
      <c r="CF4" s="81"/>
      <c r="CG4" s="156"/>
      <c r="CH4" s="232"/>
      <c r="CI4" s="81"/>
      <c r="CJ4" s="82"/>
      <c r="CK4" s="232"/>
      <c r="CL4" s="81"/>
      <c r="CM4" s="82"/>
      <c r="CN4" s="232"/>
      <c r="CO4" s="81"/>
      <c r="CP4" s="82"/>
      <c r="CQ4" s="232"/>
      <c r="CR4" s="81"/>
      <c r="CS4" s="82"/>
      <c r="CT4" s="390" t="s">
        <v>423</v>
      </c>
      <c r="CU4" s="391" t="s">
        <v>9</v>
      </c>
      <c r="CV4" s="392"/>
      <c r="CW4" s="267" t="s">
        <v>37</v>
      </c>
      <c r="CX4" s="177" t="e">
        <f>1/((1/CX22)+(1/CX23))</f>
        <v>#DIV/0!</v>
      </c>
      <c r="CY4" s="264"/>
      <c r="CZ4" s="271"/>
      <c r="DA4" s="184"/>
      <c r="DB4" s="185"/>
      <c r="DC4" s="310"/>
      <c r="DD4" s="311"/>
      <c r="DE4" s="312"/>
      <c r="DF4" s="35"/>
      <c r="DG4" s="36"/>
      <c r="DH4" s="173"/>
      <c r="DI4" s="229"/>
      <c r="DJ4" s="36"/>
      <c r="DK4" s="187"/>
      <c r="DL4" s="229"/>
      <c r="DM4" s="36"/>
      <c r="DN4" s="173"/>
      <c r="DO4" s="229"/>
      <c r="DP4" s="36"/>
      <c r="DQ4" s="228"/>
      <c r="DR4" s="188"/>
      <c r="DS4" s="26"/>
      <c r="DT4" s="171"/>
      <c r="DU4" s="325"/>
      <c r="DV4" s="326"/>
      <c r="DW4" s="327"/>
      <c r="DX4" s="328"/>
      <c r="DY4" s="326"/>
      <c r="DZ4" s="329"/>
      <c r="EA4" s="328"/>
      <c r="EB4" s="326"/>
      <c r="EC4" s="327"/>
      <c r="ED4" s="328"/>
      <c r="EE4" s="326"/>
      <c r="EF4" s="330"/>
      <c r="EG4" s="172"/>
      <c r="EH4" s="21"/>
      <c r="EI4" s="190"/>
      <c r="EJ4" s="342"/>
      <c r="EK4" s="343"/>
      <c r="EL4" s="344"/>
      <c r="EM4" s="345"/>
      <c r="EN4" s="343"/>
      <c r="EO4" s="346"/>
      <c r="EP4" s="345"/>
      <c r="EQ4" s="343"/>
      <c r="ER4" s="344"/>
      <c r="ES4" s="345"/>
      <c r="ET4" s="343"/>
      <c r="EU4" s="347"/>
      <c r="EV4" s="40"/>
      <c r="EW4" s="40"/>
      <c r="EX4" s="40"/>
      <c r="EY4" s="200"/>
      <c r="EZ4" s="201"/>
      <c r="FA4" s="201"/>
      <c r="FB4" s="224"/>
      <c r="FC4" s="201"/>
      <c r="FD4" s="201"/>
      <c r="FE4" s="224"/>
      <c r="FF4" s="201"/>
      <c r="FG4" s="201"/>
      <c r="FH4" s="224"/>
      <c r="FI4" s="201"/>
      <c r="FJ4" s="202"/>
      <c r="FK4" s="50"/>
      <c r="FL4" s="51" t="s">
        <v>384</v>
      </c>
      <c r="FM4" s="52"/>
      <c r="FN4" s="213"/>
      <c r="FO4" s="214"/>
      <c r="FP4" s="214"/>
      <c r="FQ4" s="219"/>
      <c r="FR4" s="214" t="s">
        <v>384</v>
      </c>
      <c r="FS4" s="214"/>
      <c r="FT4" s="219"/>
      <c r="FU4" s="214"/>
      <c r="FV4" s="214"/>
      <c r="FW4" s="219"/>
      <c r="FX4" s="214"/>
      <c r="FY4" s="215"/>
      <c r="FZ4" s="62"/>
      <c r="GA4" s="63"/>
      <c r="GB4" s="64"/>
      <c r="GC4" s="281"/>
      <c r="GD4" s="282"/>
      <c r="GE4" s="282"/>
      <c r="GF4" s="287"/>
      <c r="GG4" s="282"/>
      <c r="GH4" s="282"/>
      <c r="GI4" s="287"/>
      <c r="GJ4" s="282"/>
      <c r="GK4" s="282"/>
      <c r="GL4" s="287"/>
      <c r="GM4" s="282"/>
      <c r="GN4" s="283"/>
      <c r="GO4" s="73"/>
      <c r="GP4" s="74"/>
      <c r="GQ4" s="75"/>
      <c r="GR4" s="294"/>
      <c r="GS4" s="295"/>
      <c r="GT4" s="295"/>
      <c r="GU4" s="299"/>
      <c r="GV4" s="295"/>
      <c r="GW4" s="295"/>
      <c r="GX4" s="299"/>
      <c r="GY4" s="295"/>
      <c r="GZ4" s="295"/>
      <c r="HA4" s="299"/>
      <c r="HB4" s="295"/>
      <c r="HC4" s="301"/>
      <c r="HD4" s="304" t="e">
        <f>HE6*HE13*10^-3*(HE14+(HE9/HE10))*((HE11*HE7)/(1-EXP(-HE7*HE11)))</f>
        <v>#DIV/0!</v>
      </c>
      <c r="HE4" s="305"/>
      <c r="HF4" s="306" t="s">
        <v>43</v>
      </c>
    </row>
    <row r="5" spans="1:214" ht="13.5" thickTop="1" x14ac:dyDescent="0.2">
      <c r="A5" t="s">
        <v>436</v>
      </c>
      <c r="B5" s="410">
        <v>0</v>
      </c>
      <c r="C5" t="s">
        <v>448</v>
      </c>
      <c r="D5" t="s">
        <v>485</v>
      </c>
      <c r="E5" s="1">
        <v>1</v>
      </c>
      <c r="G5" t="s">
        <v>485</v>
      </c>
      <c r="H5" s="1">
        <v>1</v>
      </c>
      <c r="J5" t="s">
        <v>485</v>
      </c>
      <c r="K5" s="1">
        <v>1</v>
      </c>
      <c r="M5" t="s">
        <v>485</v>
      </c>
      <c r="N5" s="1">
        <v>1</v>
      </c>
      <c r="P5" t="s">
        <v>485</v>
      </c>
      <c r="Q5" s="1">
        <v>1</v>
      </c>
      <c r="S5" t="s">
        <v>485</v>
      </c>
      <c r="T5" s="1">
        <v>1</v>
      </c>
      <c r="V5" t="s">
        <v>458</v>
      </c>
      <c r="W5" s="1">
        <v>1</v>
      </c>
      <c r="X5" t="s">
        <v>459</v>
      </c>
      <c r="Y5" t="s">
        <v>458</v>
      </c>
      <c r="Z5" s="1">
        <v>1</v>
      </c>
      <c r="AA5" t="s">
        <v>459</v>
      </c>
      <c r="AB5" t="s">
        <v>458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t="s">
        <v>459</v>
      </c>
      <c r="AI5" t="s">
        <v>458</v>
      </c>
      <c r="AJ5" s="1">
        <v>1</v>
      </c>
      <c r="AK5" t="s">
        <v>459</v>
      </c>
      <c r="AL5" t="s">
        <v>458</v>
      </c>
      <c r="AM5" s="1">
        <v>1</v>
      </c>
      <c r="AN5" t="s">
        <v>459</v>
      </c>
      <c r="AO5" t="s">
        <v>458</v>
      </c>
      <c r="AP5" s="1">
        <v>1</v>
      </c>
      <c r="AQ5" t="s">
        <v>459</v>
      </c>
      <c r="AR5" t="s">
        <v>458</v>
      </c>
      <c r="AS5" s="1">
        <v>1</v>
      </c>
      <c r="AT5" t="s">
        <v>459</v>
      </c>
      <c r="AU5" t="s">
        <v>458</v>
      </c>
      <c r="AV5" s="1">
        <v>1</v>
      </c>
      <c r="AW5" t="s">
        <v>459</v>
      </c>
      <c r="AX5" t="s">
        <v>458</v>
      </c>
      <c r="AY5" s="1">
        <v>1</v>
      </c>
      <c r="AZ5" t="s">
        <v>459</v>
      </c>
      <c r="BA5" t="s">
        <v>458</v>
      </c>
      <c r="BB5" s="1">
        <v>1</v>
      </c>
      <c r="BC5" t="s">
        <v>459</v>
      </c>
      <c r="BD5" t="s">
        <v>458</v>
      </c>
      <c r="BE5" s="1">
        <v>1</v>
      </c>
      <c r="BF5" t="s">
        <v>459</v>
      </c>
      <c r="BG5" t="s">
        <v>458</v>
      </c>
      <c r="BH5" s="1">
        <v>1</v>
      </c>
      <c r="BI5" t="s">
        <v>459</v>
      </c>
      <c r="BJ5" t="s">
        <v>458</v>
      </c>
      <c r="BK5" s="1">
        <v>1</v>
      </c>
      <c r="BL5" t="s">
        <v>459</v>
      </c>
      <c r="BM5" t="s">
        <v>458</v>
      </c>
      <c r="BN5" s="1">
        <v>1</v>
      </c>
      <c r="BO5" t="s">
        <v>459</v>
      </c>
      <c r="BP5" t="s">
        <v>458</v>
      </c>
      <c r="BQ5" s="1">
        <v>1</v>
      </c>
      <c r="BR5" t="s">
        <v>459</v>
      </c>
      <c r="BS5" t="s">
        <v>458</v>
      </c>
      <c r="BT5" s="1">
        <v>1</v>
      </c>
      <c r="BU5" t="s">
        <v>459</v>
      </c>
      <c r="BV5" t="s">
        <v>458</v>
      </c>
      <c r="BW5" s="1">
        <v>1</v>
      </c>
      <c r="BX5" t="s">
        <v>459</v>
      </c>
      <c r="BY5" t="s">
        <v>458</v>
      </c>
      <c r="BZ5" s="1">
        <v>1</v>
      </c>
      <c r="CA5" t="s">
        <v>459</v>
      </c>
      <c r="CB5" t="s">
        <v>458</v>
      </c>
      <c r="CC5" s="1">
        <v>1</v>
      </c>
      <c r="CD5" t="s">
        <v>459</v>
      </c>
      <c r="CE5" t="s">
        <v>458</v>
      </c>
      <c r="CF5" s="1">
        <v>1</v>
      </c>
      <c r="CG5" t="s">
        <v>459</v>
      </c>
      <c r="CH5" t="s">
        <v>458</v>
      </c>
      <c r="CI5" s="1">
        <v>1</v>
      </c>
      <c r="CJ5" t="s">
        <v>459</v>
      </c>
      <c r="CK5" t="s">
        <v>458</v>
      </c>
      <c r="CL5" s="1">
        <v>1</v>
      </c>
      <c r="CM5" t="s">
        <v>459</v>
      </c>
      <c r="CN5" t="s">
        <v>395</v>
      </c>
      <c r="CO5" s="1">
        <f>B29</f>
        <v>0</v>
      </c>
      <c r="CQ5" t="s">
        <v>395</v>
      </c>
      <c r="CR5">
        <f>CO5</f>
        <v>0</v>
      </c>
      <c r="CT5" t="s">
        <v>458</v>
      </c>
      <c r="CU5" s="1">
        <v>1</v>
      </c>
      <c r="CV5" t="s">
        <v>459</v>
      </c>
      <c r="CW5" t="s">
        <v>458</v>
      </c>
      <c r="CX5" s="1">
        <v>1</v>
      </c>
      <c r="CY5" t="s">
        <v>459</v>
      </c>
      <c r="CZ5" t="s">
        <v>458</v>
      </c>
      <c r="DA5" s="1">
        <v>1</v>
      </c>
      <c r="DB5" t="s">
        <v>459</v>
      </c>
      <c r="DC5" t="s">
        <v>458</v>
      </c>
      <c r="DD5" s="1">
        <v>1</v>
      </c>
      <c r="DE5" t="s">
        <v>459</v>
      </c>
      <c r="DF5" t="s">
        <v>44</v>
      </c>
      <c r="DG5">
        <f>(DG8*DG9*DG10*((1-EXP(-DG11*DG12))))/(DG13*DG11)</f>
        <v>0</v>
      </c>
      <c r="DH5" t="s">
        <v>45</v>
      </c>
      <c r="DI5" t="s">
        <v>46</v>
      </c>
      <c r="DJ5">
        <f>DJ7</f>
        <v>0</v>
      </c>
      <c r="DL5" t="s">
        <v>46</v>
      </c>
      <c r="DM5">
        <f>DM7</f>
        <v>0</v>
      </c>
      <c r="DO5" t="s">
        <v>44</v>
      </c>
      <c r="DP5">
        <f>(DP8*DP9*DP10*((1-EXP(-DP11*DP12))))/(DP13*DP11)</f>
        <v>0</v>
      </c>
      <c r="DQ5" t="s">
        <v>45</v>
      </c>
      <c r="DR5" t="s">
        <v>458</v>
      </c>
      <c r="DS5" s="1">
        <v>1</v>
      </c>
      <c r="DT5" t="s">
        <v>459</v>
      </c>
      <c r="DU5" t="s">
        <v>317</v>
      </c>
      <c r="DV5" s="1">
        <f>B23</f>
        <v>0</v>
      </c>
      <c r="DX5" t="s">
        <v>47</v>
      </c>
      <c r="DY5">
        <f>DY7</f>
        <v>0</v>
      </c>
      <c r="EA5" t="s">
        <v>47</v>
      </c>
      <c r="EB5">
        <f>EB7</f>
        <v>0</v>
      </c>
      <c r="ED5" t="s">
        <v>47</v>
      </c>
      <c r="EE5">
        <f>EE7</f>
        <v>0</v>
      </c>
      <c r="EG5" t="s">
        <v>458</v>
      </c>
      <c r="EH5" s="1">
        <v>1</v>
      </c>
      <c r="EI5" t="s">
        <v>459</v>
      </c>
      <c r="EJ5" t="s">
        <v>318</v>
      </c>
      <c r="EK5" s="1">
        <f>B24</f>
        <v>0</v>
      </c>
      <c r="EM5" t="s">
        <v>47</v>
      </c>
      <c r="EN5">
        <f>EN7</f>
        <v>0</v>
      </c>
      <c r="EP5" t="s">
        <v>47</v>
      </c>
      <c r="EQ5">
        <f>EQ7</f>
        <v>0</v>
      </c>
      <c r="ES5" t="s">
        <v>47</v>
      </c>
      <c r="ET5">
        <f>ET7</f>
        <v>0</v>
      </c>
      <c r="EV5" t="s">
        <v>458</v>
      </c>
      <c r="EW5" s="1">
        <v>1</v>
      </c>
      <c r="EX5" t="s">
        <v>459</v>
      </c>
      <c r="EY5" t="s">
        <v>319</v>
      </c>
      <c r="EZ5" s="406">
        <f>B26</f>
        <v>0</v>
      </c>
      <c r="FB5" t="s">
        <v>47</v>
      </c>
      <c r="FC5">
        <f>FC7</f>
        <v>5.0000000000000001E-3</v>
      </c>
      <c r="FE5" t="s">
        <v>47</v>
      </c>
      <c r="FF5">
        <f>FF7</f>
        <v>5.0000000000000001E-3</v>
      </c>
      <c r="FH5" t="s">
        <v>47</v>
      </c>
      <c r="FI5">
        <f>FI7</f>
        <v>5.0000000000000001E-3</v>
      </c>
      <c r="FK5" t="s">
        <v>458</v>
      </c>
      <c r="FL5" s="1">
        <v>1</v>
      </c>
      <c r="FM5" t="s">
        <v>459</v>
      </c>
      <c r="FN5" t="s">
        <v>320</v>
      </c>
      <c r="FO5" s="17">
        <v>1</v>
      </c>
      <c r="FQ5" t="s">
        <v>186</v>
      </c>
      <c r="FR5" s="1">
        <f>B22</f>
        <v>0</v>
      </c>
      <c r="FT5" t="s">
        <v>47</v>
      </c>
      <c r="FU5">
        <f>FU7</f>
        <v>0.2</v>
      </c>
      <c r="FW5" t="s">
        <v>47</v>
      </c>
      <c r="FX5">
        <f>FX7</f>
        <v>0.2</v>
      </c>
      <c r="FZ5" t="s">
        <v>458</v>
      </c>
      <c r="GA5" s="1">
        <v>1</v>
      </c>
      <c r="GB5" t="s">
        <v>459</v>
      </c>
      <c r="GC5" t="s">
        <v>321</v>
      </c>
      <c r="GD5" s="406">
        <f>B25</f>
        <v>0</v>
      </c>
      <c r="GF5" t="s">
        <v>47</v>
      </c>
      <c r="GG5">
        <f>GG7</f>
        <v>5.0000000000000001E-3</v>
      </c>
      <c r="GI5" t="s">
        <v>47</v>
      </c>
      <c r="GJ5">
        <f>GJ7</f>
        <v>5.0000000000000001E-3</v>
      </c>
      <c r="GL5" t="s">
        <v>47</v>
      </c>
      <c r="GM5">
        <f>GM7</f>
        <v>5.0000000000000001E-3</v>
      </c>
      <c r="GO5" t="s">
        <v>458</v>
      </c>
      <c r="GP5" s="1">
        <v>1</v>
      </c>
      <c r="GQ5" t="s">
        <v>459</v>
      </c>
      <c r="GR5" t="s">
        <v>322</v>
      </c>
      <c r="GS5" s="406">
        <f>B27</f>
        <v>0</v>
      </c>
      <c r="GU5" t="s">
        <v>47</v>
      </c>
      <c r="GV5">
        <f>GV7</f>
        <v>5.0000000000000001E-3</v>
      </c>
      <c r="GX5" t="s">
        <v>47</v>
      </c>
      <c r="GY5">
        <f>GY7</f>
        <v>5.0000000000000001E-3</v>
      </c>
      <c r="HA5" t="s">
        <v>47</v>
      </c>
      <c r="HB5">
        <f>HB7</f>
        <v>5.0000000000000001E-3</v>
      </c>
      <c r="HD5" s="2" t="s">
        <v>48</v>
      </c>
      <c r="HE5">
        <v>15</v>
      </c>
      <c r="HF5" t="s">
        <v>24</v>
      </c>
    </row>
    <row r="6" spans="1:214" x14ac:dyDescent="0.2">
      <c r="A6" t="s">
        <v>437</v>
      </c>
      <c r="B6" s="410">
        <v>0</v>
      </c>
      <c r="C6" t="s">
        <v>448</v>
      </c>
      <c r="D6" t="s">
        <v>49</v>
      </c>
      <c r="E6" s="1">
        <f>0.693/E7</f>
        <v>6.3E-5</v>
      </c>
      <c r="G6" t="s">
        <v>437</v>
      </c>
      <c r="H6" s="1">
        <f>B6</f>
        <v>0</v>
      </c>
      <c r="I6" t="s">
        <v>61</v>
      </c>
      <c r="J6" t="s">
        <v>438</v>
      </c>
      <c r="K6" s="1">
        <f>B7</f>
        <v>0</v>
      </c>
      <c r="L6" t="s">
        <v>61</v>
      </c>
      <c r="M6" t="s">
        <v>58</v>
      </c>
      <c r="N6">
        <v>26</v>
      </c>
      <c r="O6" t="s">
        <v>59</v>
      </c>
      <c r="P6" t="s">
        <v>58</v>
      </c>
      <c r="Q6">
        <v>26</v>
      </c>
      <c r="R6" t="s">
        <v>59</v>
      </c>
      <c r="S6" t="s">
        <v>58</v>
      </c>
      <c r="T6">
        <v>26</v>
      </c>
      <c r="U6" t="s">
        <v>59</v>
      </c>
      <c r="V6" t="s">
        <v>49</v>
      </c>
      <c r="W6" s="1">
        <f>0.693/W7</f>
        <v>66.155354824913829</v>
      </c>
      <c r="Y6" t="s">
        <v>49</v>
      </c>
      <c r="Z6" s="1">
        <f>0.693/Z7</f>
        <v>66.155354824913829</v>
      </c>
      <c r="AC6">
        <v>1000</v>
      </c>
      <c r="AD6">
        <v>1000</v>
      </c>
      <c r="AE6">
        <v>1000</v>
      </c>
      <c r="AF6">
        <v>1000</v>
      </c>
      <c r="AG6">
        <v>1000</v>
      </c>
      <c r="AH6" t="s">
        <v>50</v>
      </c>
      <c r="AI6" t="s">
        <v>58</v>
      </c>
      <c r="AJ6">
        <v>25</v>
      </c>
      <c r="AK6" t="s">
        <v>59</v>
      </c>
      <c r="AL6" t="s">
        <v>58</v>
      </c>
      <c r="AM6">
        <v>25</v>
      </c>
      <c r="AN6" t="s">
        <v>59</v>
      </c>
      <c r="AO6" t="s">
        <v>58</v>
      </c>
      <c r="AP6">
        <v>25</v>
      </c>
      <c r="AQ6" t="s">
        <v>59</v>
      </c>
      <c r="AR6" t="s">
        <v>58</v>
      </c>
      <c r="AS6">
        <v>25</v>
      </c>
      <c r="AT6" t="s">
        <v>59</v>
      </c>
      <c r="AU6" t="s">
        <v>58</v>
      </c>
      <c r="AV6">
        <v>25</v>
      </c>
      <c r="AW6" t="s">
        <v>59</v>
      </c>
      <c r="AX6" t="s">
        <v>58</v>
      </c>
      <c r="AY6">
        <v>25</v>
      </c>
      <c r="AZ6" t="s">
        <v>59</v>
      </c>
      <c r="BA6" t="s">
        <v>58</v>
      </c>
      <c r="BB6">
        <v>25</v>
      </c>
      <c r="BC6" t="s">
        <v>59</v>
      </c>
      <c r="BD6" t="s">
        <v>58</v>
      </c>
      <c r="BE6">
        <v>25</v>
      </c>
      <c r="BF6" t="s">
        <v>59</v>
      </c>
      <c r="BG6" t="s">
        <v>58</v>
      </c>
      <c r="BH6">
        <v>25</v>
      </c>
      <c r="BI6" t="s">
        <v>59</v>
      </c>
      <c r="BJ6" t="s">
        <v>58</v>
      </c>
      <c r="BK6">
        <v>1</v>
      </c>
      <c r="BL6" t="s">
        <v>59</v>
      </c>
      <c r="BM6" t="s">
        <v>58</v>
      </c>
      <c r="BN6">
        <v>1</v>
      </c>
      <c r="BO6" t="s">
        <v>59</v>
      </c>
      <c r="BP6" t="s">
        <v>58</v>
      </c>
      <c r="BQ6">
        <v>1</v>
      </c>
      <c r="BR6" t="s">
        <v>59</v>
      </c>
      <c r="BS6" t="s">
        <v>49</v>
      </c>
      <c r="BT6" s="1">
        <f>0.693/BT7</f>
        <v>66.155354824913829</v>
      </c>
      <c r="BV6" t="s">
        <v>437</v>
      </c>
      <c r="BW6" s="1">
        <f>H6</f>
        <v>0</v>
      </c>
      <c r="BX6" t="s">
        <v>448</v>
      </c>
      <c r="BY6" t="s">
        <v>438</v>
      </c>
      <c r="BZ6" s="1">
        <f>B7</f>
        <v>0</v>
      </c>
      <c r="CA6" t="s">
        <v>448</v>
      </c>
      <c r="CB6" t="s">
        <v>58</v>
      </c>
      <c r="CC6">
        <v>26</v>
      </c>
      <c r="CD6" t="s">
        <v>59</v>
      </c>
      <c r="CE6" t="s">
        <v>58</v>
      </c>
      <c r="CF6">
        <v>26</v>
      </c>
      <c r="CG6" t="s">
        <v>59</v>
      </c>
      <c r="CH6" t="s">
        <v>58</v>
      </c>
      <c r="CI6">
        <v>26</v>
      </c>
      <c r="CJ6" t="s">
        <v>59</v>
      </c>
      <c r="CK6" t="s">
        <v>447</v>
      </c>
      <c r="CL6" s="1">
        <f>E35</f>
        <v>0</v>
      </c>
      <c r="CM6" t="s">
        <v>22</v>
      </c>
      <c r="CN6" t="s">
        <v>47</v>
      </c>
      <c r="CO6">
        <f>CO8</f>
        <v>0</v>
      </c>
      <c r="CQ6" t="s">
        <v>315</v>
      </c>
      <c r="CR6" s="17">
        <v>1</v>
      </c>
      <c r="CS6" t="s">
        <v>56</v>
      </c>
      <c r="CT6" t="s">
        <v>438</v>
      </c>
      <c r="CU6" s="1">
        <f>B7</f>
        <v>0</v>
      </c>
      <c r="CV6" t="s">
        <v>448</v>
      </c>
      <c r="CW6" t="s">
        <v>49</v>
      </c>
      <c r="CX6" s="1">
        <f>0.693/CX7</f>
        <v>66.155354824913829</v>
      </c>
      <c r="CZ6" t="s">
        <v>437</v>
      </c>
      <c r="DA6" s="1">
        <f>B6</f>
        <v>0</v>
      </c>
      <c r="DB6" t="s">
        <v>448</v>
      </c>
      <c r="DC6" t="s">
        <v>447</v>
      </c>
      <c r="DD6" s="1">
        <f>B16</f>
        <v>0</v>
      </c>
      <c r="DE6" t="s">
        <v>448</v>
      </c>
      <c r="DF6" t="s">
        <v>53</v>
      </c>
      <c r="DG6">
        <f>(DG8*DG9*DG14*((1-EXP(-DG11*DG12))))/(DG13*DG11)</f>
        <v>5.4035127681958941E-3</v>
      </c>
      <c r="DH6" t="s">
        <v>45</v>
      </c>
      <c r="DI6" t="s">
        <v>54</v>
      </c>
      <c r="DJ6">
        <f>DJ8</f>
        <v>0.26</v>
      </c>
      <c r="DL6" t="s">
        <v>54</v>
      </c>
      <c r="DM6">
        <f>DM8</f>
        <v>0.26</v>
      </c>
      <c r="DO6" t="s">
        <v>53</v>
      </c>
      <c r="DP6">
        <f>(DP8*DP9*DP14*((1-EXP(-DP11*DP12))))/(DP13*DP11)</f>
        <v>9.2940667982112686</v>
      </c>
      <c r="DQ6" t="s">
        <v>45</v>
      </c>
      <c r="DR6" t="s">
        <v>447</v>
      </c>
      <c r="DS6" s="1">
        <f>B16</f>
        <v>0</v>
      </c>
      <c r="DT6" t="s">
        <v>448</v>
      </c>
      <c r="DU6" t="s">
        <v>55</v>
      </c>
      <c r="DV6">
        <v>92</v>
      </c>
      <c r="DW6" t="s">
        <v>56</v>
      </c>
      <c r="DX6" t="s">
        <v>54</v>
      </c>
      <c r="DY6">
        <f>DY8</f>
        <v>0.25</v>
      </c>
      <c r="EA6" t="s">
        <v>54</v>
      </c>
      <c r="EB6">
        <f>EB8</f>
        <v>0.25</v>
      </c>
      <c r="ED6" t="s">
        <v>54</v>
      </c>
      <c r="EE6">
        <f>EE8</f>
        <v>0.25</v>
      </c>
      <c r="EG6" t="s">
        <v>447</v>
      </c>
      <c r="EH6" s="1">
        <f>B16</f>
        <v>0</v>
      </c>
      <c r="EI6" t="s">
        <v>448</v>
      </c>
      <c r="EJ6" t="s">
        <v>57</v>
      </c>
      <c r="EK6">
        <v>53</v>
      </c>
      <c r="EL6" t="s">
        <v>56</v>
      </c>
      <c r="EM6" t="s">
        <v>54</v>
      </c>
      <c r="EN6">
        <f>EN8</f>
        <v>0.25</v>
      </c>
      <c r="EP6" t="s">
        <v>54</v>
      </c>
      <c r="EQ6">
        <f>EQ8</f>
        <v>0.25</v>
      </c>
      <c r="ES6" t="s">
        <v>54</v>
      </c>
      <c r="ET6">
        <f>ET8</f>
        <v>0.25</v>
      </c>
      <c r="EV6" t="s">
        <v>447</v>
      </c>
      <c r="EW6" s="1">
        <f>B16</f>
        <v>0</v>
      </c>
      <c r="EX6" t="s">
        <v>448</v>
      </c>
      <c r="EY6" t="s">
        <v>271</v>
      </c>
      <c r="EZ6">
        <v>0.4</v>
      </c>
      <c r="FA6" t="s">
        <v>56</v>
      </c>
      <c r="FB6" t="s">
        <v>54</v>
      </c>
      <c r="FC6">
        <f>FC8</f>
        <v>0.25</v>
      </c>
      <c r="FE6" t="s">
        <v>54</v>
      </c>
      <c r="FF6">
        <f>FF8</f>
        <v>0.25</v>
      </c>
      <c r="FH6" t="s">
        <v>54</v>
      </c>
      <c r="FI6">
        <f>FI8</f>
        <v>0.25</v>
      </c>
      <c r="FK6" t="s">
        <v>447</v>
      </c>
      <c r="FL6" s="1">
        <f>B16</f>
        <v>0</v>
      </c>
      <c r="FM6" t="s">
        <v>448</v>
      </c>
      <c r="FN6" t="s">
        <v>274</v>
      </c>
      <c r="FO6" s="17">
        <v>1</v>
      </c>
      <c r="FP6" t="s">
        <v>56</v>
      </c>
      <c r="FQ6" t="s">
        <v>296</v>
      </c>
      <c r="FR6" s="1">
        <v>8.1999999999999993</v>
      </c>
      <c r="FT6" t="s">
        <v>54</v>
      </c>
      <c r="FU6">
        <f>FU8</f>
        <v>0.25</v>
      </c>
      <c r="FW6" t="s">
        <v>54</v>
      </c>
      <c r="FX6">
        <f>FX8</f>
        <v>0.25</v>
      </c>
      <c r="FZ6" t="s">
        <v>447</v>
      </c>
      <c r="GA6" s="1">
        <f>B16</f>
        <v>0</v>
      </c>
      <c r="GB6" t="s">
        <v>448</v>
      </c>
      <c r="GC6" t="s">
        <v>272</v>
      </c>
      <c r="GD6">
        <v>0.4</v>
      </c>
      <c r="GE6" t="s">
        <v>56</v>
      </c>
      <c r="GF6" t="s">
        <v>54</v>
      </c>
      <c r="GG6">
        <f>GG8</f>
        <v>0.25</v>
      </c>
      <c r="GI6" t="s">
        <v>54</v>
      </c>
      <c r="GJ6">
        <f>GJ8</f>
        <v>0.25</v>
      </c>
      <c r="GL6" t="s">
        <v>54</v>
      </c>
      <c r="GM6">
        <f>GM8</f>
        <v>0.25</v>
      </c>
      <c r="GO6" t="s">
        <v>447</v>
      </c>
      <c r="GP6" s="1">
        <f>B16</f>
        <v>0</v>
      </c>
      <c r="GQ6" t="s">
        <v>448</v>
      </c>
      <c r="GR6" t="s">
        <v>273</v>
      </c>
      <c r="GS6">
        <v>11.4</v>
      </c>
      <c r="GT6" t="s">
        <v>56</v>
      </c>
      <c r="GU6" t="s">
        <v>54</v>
      </c>
      <c r="GV6">
        <f>GV8</f>
        <v>0.25</v>
      </c>
      <c r="GX6" t="s">
        <v>54</v>
      </c>
      <c r="GY6">
        <f>GY8</f>
        <v>0.25</v>
      </c>
      <c r="HA6" t="s">
        <v>54</v>
      </c>
      <c r="HB6">
        <f>HB8</f>
        <v>0.25</v>
      </c>
      <c r="HD6" t="s">
        <v>456</v>
      </c>
      <c r="HE6" s="1" t="e">
        <f>H3</f>
        <v>#DIV/0!</v>
      </c>
      <c r="HF6" t="s">
        <v>24</v>
      </c>
    </row>
    <row r="7" spans="1:214" x14ac:dyDescent="0.2">
      <c r="A7" t="s">
        <v>438</v>
      </c>
      <c r="B7" s="410">
        <v>0</v>
      </c>
      <c r="C7" t="s">
        <v>448</v>
      </c>
      <c r="D7" t="s">
        <v>411</v>
      </c>
      <c r="E7" s="1">
        <v>11000</v>
      </c>
      <c r="F7" t="s">
        <v>119</v>
      </c>
      <c r="G7" t="s">
        <v>436</v>
      </c>
      <c r="H7" s="1">
        <f>B5</f>
        <v>0</v>
      </c>
      <c r="I7" t="s">
        <v>61</v>
      </c>
      <c r="J7" t="s">
        <v>436</v>
      </c>
      <c r="K7" s="1">
        <f>B5</f>
        <v>0</v>
      </c>
      <c r="L7" t="s">
        <v>61</v>
      </c>
      <c r="M7" t="s">
        <v>49</v>
      </c>
      <c r="N7" s="1">
        <f>0.693/N8</f>
        <v>66.155354824913829</v>
      </c>
      <c r="P7" t="s">
        <v>49</v>
      </c>
      <c r="Q7" s="1">
        <f>0.693/Q8</f>
        <v>66.155354824913829</v>
      </c>
      <c r="S7" t="s">
        <v>49</v>
      </c>
      <c r="T7" s="1">
        <f>0.693/T8</f>
        <v>66.155354824913829</v>
      </c>
      <c r="V7" t="s">
        <v>411</v>
      </c>
      <c r="W7" s="1">
        <f>B17</f>
        <v>1.04753425E-2</v>
      </c>
      <c r="X7" t="s">
        <v>119</v>
      </c>
      <c r="Y7" t="s">
        <v>411</v>
      </c>
      <c r="Z7" s="1">
        <f>B17</f>
        <v>1.04753425E-2</v>
      </c>
      <c r="AA7" t="s">
        <v>119</v>
      </c>
      <c r="AI7" t="s">
        <v>49</v>
      </c>
      <c r="AJ7" s="1">
        <f>0.693/AJ8</f>
        <v>66.155354824913829</v>
      </c>
      <c r="AL7" t="s">
        <v>49</v>
      </c>
      <c r="AM7" s="1">
        <f>0.693/AM8</f>
        <v>66.155354824913829</v>
      </c>
      <c r="AO7" t="s">
        <v>49</v>
      </c>
      <c r="AP7" s="1">
        <f>0.693/AP8</f>
        <v>66.155354824913829</v>
      </c>
      <c r="AR7" t="s">
        <v>49</v>
      </c>
      <c r="AS7" s="1">
        <f>0.693/AS8</f>
        <v>66.155354824913829</v>
      </c>
      <c r="AU7" t="s">
        <v>49</v>
      </c>
      <c r="AV7" s="1">
        <f>0.693/AV8</f>
        <v>66.155354824913829</v>
      </c>
      <c r="AX7" t="s">
        <v>49</v>
      </c>
      <c r="AY7" s="1">
        <f>0.693/AY8</f>
        <v>66.155354824913829</v>
      </c>
      <c r="BA7" t="s">
        <v>49</v>
      </c>
      <c r="BB7" s="1">
        <f>0.693/BB8</f>
        <v>66.155354824913829</v>
      </c>
      <c r="BD7" t="s">
        <v>49</v>
      </c>
      <c r="BE7" s="1">
        <f>0.693/BE8</f>
        <v>66.155354824913829</v>
      </c>
      <c r="BG7" t="s">
        <v>49</v>
      </c>
      <c r="BH7" s="1">
        <f>0.693/BH8</f>
        <v>66.155354824913829</v>
      </c>
      <c r="BJ7" t="s">
        <v>49</v>
      </c>
      <c r="BK7" s="1">
        <f>0.693/BK8</f>
        <v>66.155354824913829</v>
      </c>
      <c r="BM7" t="s">
        <v>49</v>
      </c>
      <c r="BN7" s="1">
        <f>0.693/BN8</f>
        <v>66.155354824913829</v>
      </c>
      <c r="BP7" t="s">
        <v>49</v>
      </c>
      <c r="BQ7" s="1">
        <f>0.693/BQ8</f>
        <v>66.155354824913829</v>
      </c>
      <c r="BS7" t="s">
        <v>411</v>
      </c>
      <c r="BT7" s="1">
        <f>B17</f>
        <v>1.04753425E-2</v>
      </c>
      <c r="BU7" t="s">
        <v>119</v>
      </c>
      <c r="BV7" t="s">
        <v>436</v>
      </c>
      <c r="BW7" s="1">
        <f>E10</f>
        <v>0</v>
      </c>
      <c r="BX7" t="s">
        <v>448</v>
      </c>
      <c r="BY7" t="s">
        <v>436</v>
      </c>
      <c r="BZ7" s="1">
        <f>B5</f>
        <v>0</v>
      </c>
      <c r="CA7" t="s">
        <v>448</v>
      </c>
      <c r="CB7" t="s">
        <v>49</v>
      </c>
      <c r="CC7" s="1">
        <f>0.693/CC8</f>
        <v>66.155354824913829</v>
      </c>
      <c r="CE7" t="s">
        <v>49</v>
      </c>
      <c r="CF7" s="1">
        <f>0.693/CF8</f>
        <v>66.155354824913829</v>
      </c>
      <c r="CH7" t="s">
        <v>49</v>
      </c>
      <c r="CI7" s="1">
        <f>0.693/CI8</f>
        <v>66.155354824913829</v>
      </c>
      <c r="CK7" t="s">
        <v>221</v>
      </c>
      <c r="CL7">
        <v>75</v>
      </c>
      <c r="CM7" t="s">
        <v>245</v>
      </c>
      <c r="CN7" t="s">
        <v>54</v>
      </c>
      <c r="CO7">
        <f>CO9</f>
        <v>0.25</v>
      </c>
      <c r="CR7">
        <v>1000</v>
      </c>
      <c r="CS7" t="s">
        <v>213</v>
      </c>
      <c r="CT7" t="s">
        <v>436</v>
      </c>
      <c r="CU7" s="1">
        <f>B5</f>
        <v>0</v>
      </c>
      <c r="CV7" t="s">
        <v>448</v>
      </c>
      <c r="CW7" t="s">
        <v>411</v>
      </c>
      <c r="CX7" s="1">
        <f>B17</f>
        <v>1.04753425E-2</v>
      </c>
      <c r="CY7" t="s">
        <v>119</v>
      </c>
      <c r="CZ7" t="s">
        <v>436</v>
      </c>
      <c r="DA7" s="1">
        <f>B5</f>
        <v>0</v>
      </c>
      <c r="DB7" t="s">
        <v>448</v>
      </c>
      <c r="DC7" t="s">
        <v>451</v>
      </c>
      <c r="DD7" s="16" t="e">
        <f>(DD5)/(DD6*(DD8+DD11)*DD21)</f>
        <v>#DIV/0!</v>
      </c>
      <c r="DE7" t="s">
        <v>22</v>
      </c>
      <c r="DF7" t="s">
        <v>62</v>
      </c>
      <c r="DG7">
        <f>(DG8*DG9*DG15*DG21*((1-EXP(-DG16*DG17))))/(DG18*DG16)</f>
        <v>0.82303427313698274</v>
      </c>
      <c r="DH7" t="s">
        <v>45</v>
      </c>
      <c r="DI7" t="s">
        <v>63</v>
      </c>
      <c r="DJ7">
        <f>B28</f>
        <v>0</v>
      </c>
      <c r="DL7" t="s">
        <v>63</v>
      </c>
      <c r="DM7">
        <f>B28</f>
        <v>0</v>
      </c>
      <c r="DO7" t="s">
        <v>62</v>
      </c>
      <c r="DP7">
        <f>(DP8*DP9*DP15*DP21*((1-EXP(-DP16*DP17))))/(DP18*DP16)</f>
        <v>3.6424203206347228</v>
      </c>
      <c r="DQ7" t="s">
        <v>45</v>
      </c>
      <c r="DR7" t="s">
        <v>451</v>
      </c>
      <c r="DS7" s="16" t="e">
        <f>DS5/(DS6*DS8*DS17)</f>
        <v>#DIV/0!</v>
      </c>
      <c r="DT7" t="s">
        <v>22</v>
      </c>
      <c r="DX7" t="s">
        <v>64</v>
      </c>
      <c r="DY7">
        <f>B29</f>
        <v>0</v>
      </c>
      <c r="EA7" t="s">
        <v>64</v>
      </c>
      <c r="EB7">
        <f>B29</f>
        <v>0</v>
      </c>
      <c r="ED7" t="s">
        <v>64</v>
      </c>
      <c r="EE7">
        <f>B29</f>
        <v>0</v>
      </c>
      <c r="EG7" t="s">
        <v>451</v>
      </c>
      <c r="EH7" s="16" t="e">
        <f>EH5/(EH6*EH8*EH17)</f>
        <v>#DIV/0!</v>
      </c>
      <c r="EI7" t="s">
        <v>22</v>
      </c>
      <c r="EM7" t="s">
        <v>64</v>
      </c>
      <c r="EN7">
        <f>B29</f>
        <v>0</v>
      </c>
      <c r="EP7" t="s">
        <v>64</v>
      </c>
      <c r="EQ7">
        <f>B29</f>
        <v>0</v>
      </c>
      <c r="ES7" t="s">
        <v>64</v>
      </c>
      <c r="ET7">
        <f>B29</f>
        <v>0</v>
      </c>
      <c r="EV7" t="s">
        <v>451</v>
      </c>
      <c r="EW7" s="16" t="e">
        <f>EW5/(EW6*EW8*EW17)</f>
        <v>#DIV/0!</v>
      </c>
      <c r="EX7" t="s">
        <v>22</v>
      </c>
      <c r="EZ7">
        <v>1000</v>
      </c>
      <c r="FA7" t="s">
        <v>213</v>
      </c>
      <c r="FB7" t="s">
        <v>64</v>
      </c>
      <c r="FC7">
        <v>5.0000000000000001E-3</v>
      </c>
      <c r="FE7" t="s">
        <v>64</v>
      </c>
      <c r="FF7">
        <v>5.0000000000000001E-3</v>
      </c>
      <c r="FH7" t="s">
        <v>64</v>
      </c>
      <c r="FI7">
        <v>5.0000000000000001E-3</v>
      </c>
      <c r="FK7" t="s">
        <v>451</v>
      </c>
      <c r="FL7" s="16" t="e">
        <f>FL5/(FL6*FL8*FL17)</f>
        <v>#DIV/0!</v>
      </c>
      <c r="FM7" t="s">
        <v>22</v>
      </c>
      <c r="FO7">
        <v>1000</v>
      </c>
      <c r="FP7" t="s">
        <v>213</v>
      </c>
      <c r="FT7" t="s">
        <v>64</v>
      </c>
      <c r="FU7">
        <v>0.2</v>
      </c>
      <c r="FW7" t="s">
        <v>64</v>
      </c>
      <c r="FX7">
        <v>0.2</v>
      </c>
      <c r="FZ7" t="s">
        <v>451</v>
      </c>
      <c r="GA7" s="16" t="e">
        <f>GA5/(GA6*GA8*GA17)</f>
        <v>#DIV/0!</v>
      </c>
      <c r="GB7" t="s">
        <v>22</v>
      </c>
      <c r="GD7">
        <v>1000</v>
      </c>
      <c r="GE7" t="s">
        <v>213</v>
      </c>
      <c r="GF7" t="s">
        <v>64</v>
      </c>
      <c r="GG7">
        <v>5.0000000000000001E-3</v>
      </c>
      <c r="GI7" t="s">
        <v>64</v>
      </c>
      <c r="GJ7">
        <v>5.0000000000000001E-3</v>
      </c>
      <c r="GL7" t="s">
        <v>64</v>
      </c>
      <c r="GM7">
        <v>5.0000000000000001E-3</v>
      </c>
      <c r="GO7" t="s">
        <v>451</v>
      </c>
      <c r="GP7" s="16" t="e">
        <f>GP5/(GP6*GP8*GP16)</f>
        <v>#DIV/0!</v>
      </c>
      <c r="GQ7" t="s">
        <v>22</v>
      </c>
      <c r="GS7">
        <v>1000</v>
      </c>
      <c r="GT7" t="s">
        <v>213</v>
      </c>
      <c r="GU7" t="s">
        <v>64</v>
      </c>
      <c r="GV7">
        <v>5.0000000000000001E-3</v>
      </c>
      <c r="GX7" t="s">
        <v>64</v>
      </c>
      <c r="GY7">
        <v>5.0000000000000001E-3</v>
      </c>
      <c r="HA7" t="s">
        <v>64</v>
      </c>
      <c r="HB7">
        <v>5.0000000000000001E-3</v>
      </c>
      <c r="HD7" t="s">
        <v>49</v>
      </c>
      <c r="HE7" s="1">
        <f>0.693/HE8</f>
        <v>66.155354824913829</v>
      </c>
    </row>
    <row r="8" spans="1:214" x14ac:dyDescent="0.2">
      <c r="A8" t="s">
        <v>439</v>
      </c>
      <c r="B8" s="410">
        <v>0</v>
      </c>
      <c r="C8" t="s">
        <v>448</v>
      </c>
      <c r="D8" t="s">
        <v>51</v>
      </c>
      <c r="E8">
        <v>350</v>
      </c>
      <c r="F8" t="s">
        <v>60</v>
      </c>
      <c r="G8" t="s">
        <v>446</v>
      </c>
      <c r="H8" s="1">
        <f>B15</f>
        <v>2.1100000000000001E-5</v>
      </c>
      <c r="I8" t="s">
        <v>61</v>
      </c>
      <c r="J8" t="s">
        <v>460</v>
      </c>
      <c r="K8" s="1">
        <f>B9</f>
        <v>10.6</v>
      </c>
      <c r="L8" t="s">
        <v>147</v>
      </c>
      <c r="M8" t="s">
        <v>411</v>
      </c>
      <c r="N8" s="1">
        <f>B17</f>
        <v>1.04753425E-2</v>
      </c>
      <c r="O8" t="s">
        <v>119</v>
      </c>
      <c r="P8" t="s">
        <v>411</v>
      </c>
      <c r="Q8" s="1">
        <f>B17</f>
        <v>1.04753425E-2</v>
      </c>
      <c r="R8" t="s">
        <v>119</v>
      </c>
      <c r="S8" t="s">
        <v>411</v>
      </c>
      <c r="T8" s="1">
        <f>B17</f>
        <v>1.04753425E-2</v>
      </c>
      <c r="U8" t="s">
        <v>119</v>
      </c>
      <c r="V8" t="s">
        <v>51</v>
      </c>
      <c r="W8">
        <v>225</v>
      </c>
      <c r="X8" t="s">
        <v>60</v>
      </c>
      <c r="Y8" t="s">
        <v>51</v>
      </c>
      <c r="Z8">
        <v>250</v>
      </c>
      <c r="AA8" t="s">
        <v>60</v>
      </c>
      <c r="AB8" t="s">
        <v>66</v>
      </c>
      <c r="AC8">
        <v>250</v>
      </c>
      <c r="AD8">
        <v>250</v>
      </c>
      <c r="AE8">
        <v>225</v>
      </c>
      <c r="AF8">
        <f>AF12*AF13</f>
        <v>250</v>
      </c>
      <c r="AG8">
        <f>AG12*AG13</f>
        <v>250</v>
      </c>
      <c r="AH8" t="s">
        <v>52</v>
      </c>
      <c r="AI8" t="s">
        <v>411</v>
      </c>
      <c r="AJ8" s="1">
        <f>B17</f>
        <v>1.04753425E-2</v>
      </c>
      <c r="AK8" t="s">
        <v>119</v>
      </c>
      <c r="AL8" t="s">
        <v>411</v>
      </c>
      <c r="AM8" s="1">
        <f>B17</f>
        <v>1.04753425E-2</v>
      </c>
      <c r="AN8" t="s">
        <v>119</v>
      </c>
      <c r="AO8" t="s">
        <v>411</v>
      </c>
      <c r="AP8" s="1">
        <f>B17</f>
        <v>1.04753425E-2</v>
      </c>
      <c r="AQ8" t="s">
        <v>119</v>
      </c>
      <c r="AR8" t="s">
        <v>411</v>
      </c>
      <c r="AS8" s="1">
        <f>B17</f>
        <v>1.04753425E-2</v>
      </c>
      <c r="AT8" t="s">
        <v>119</v>
      </c>
      <c r="AU8" t="s">
        <v>411</v>
      </c>
      <c r="AV8" s="1">
        <f>B17</f>
        <v>1.04753425E-2</v>
      </c>
      <c r="AW8" t="s">
        <v>119</v>
      </c>
      <c r="AX8" t="s">
        <v>411</v>
      </c>
      <c r="AY8" s="1">
        <f>B17</f>
        <v>1.04753425E-2</v>
      </c>
      <c r="AZ8" t="s">
        <v>119</v>
      </c>
      <c r="BA8" t="s">
        <v>411</v>
      </c>
      <c r="BB8" s="1">
        <f>B17</f>
        <v>1.04753425E-2</v>
      </c>
      <c r="BC8" t="s">
        <v>119</v>
      </c>
      <c r="BD8" t="s">
        <v>411</v>
      </c>
      <c r="BE8" s="1">
        <f>B17</f>
        <v>1.04753425E-2</v>
      </c>
      <c r="BF8" t="s">
        <v>119</v>
      </c>
      <c r="BG8" t="s">
        <v>411</v>
      </c>
      <c r="BH8" s="1">
        <f>B17</f>
        <v>1.04753425E-2</v>
      </c>
      <c r="BI8" t="s">
        <v>119</v>
      </c>
      <c r="BJ8" t="s">
        <v>411</v>
      </c>
      <c r="BK8" s="1">
        <f>B17</f>
        <v>1.04753425E-2</v>
      </c>
      <c r="BL8" t="s">
        <v>119</v>
      </c>
      <c r="BM8" t="s">
        <v>411</v>
      </c>
      <c r="BN8" s="1">
        <f>B17</f>
        <v>1.04753425E-2</v>
      </c>
      <c r="BO8" t="s">
        <v>119</v>
      </c>
      <c r="BP8" t="s">
        <v>411</v>
      </c>
      <c r="BQ8" s="1">
        <f>B17</f>
        <v>1.04753425E-2</v>
      </c>
      <c r="BR8" t="s">
        <v>119</v>
      </c>
      <c r="BS8" t="s">
        <v>51</v>
      </c>
      <c r="BT8">
        <v>75</v>
      </c>
      <c r="BU8" t="s">
        <v>60</v>
      </c>
      <c r="BV8" t="s">
        <v>446</v>
      </c>
      <c r="BW8" s="1">
        <f>H8</f>
        <v>2.1100000000000001E-5</v>
      </c>
      <c r="BX8" t="s">
        <v>448</v>
      </c>
      <c r="BY8" t="s">
        <v>460</v>
      </c>
      <c r="BZ8" s="1">
        <f>B9</f>
        <v>10.6</v>
      </c>
      <c r="CA8" t="s">
        <v>449</v>
      </c>
      <c r="CB8" t="s">
        <v>411</v>
      </c>
      <c r="CC8" s="1">
        <f>B17</f>
        <v>1.04753425E-2</v>
      </c>
      <c r="CD8" t="s">
        <v>119</v>
      </c>
      <c r="CE8" t="s">
        <v>411</v>
      </c>
      <c r="CF8" s="1">
        <f>B17</f>
        <v>1.04753425E-2</v>
      </c>
      <c r="CG8" t="s">
        <v>119</v>
      </c>
      <c r="CH8" t="s">
        <v>411</v>
      </c>
      <c r="CI8" s="1">
        <f>B17</f>
        <v>1.04753425E-2</v>
      </c>
      <c r="CJ8" t="s">
        <v>119</v>
      </c>
      <c r="CK8" t="s">
        <v>99</v>
      </c>
      <c r="CL8">
        <v>1</v>
      </c>
      <c r="CM8" t="s">
        <v>253</v>
      </c>
      <c r="CN8" t="s">
        <v>64</v>
      </c>
      <c r="CO8" s="1">
        <f>B31</f>
        <v>0</v>
      </c>
      <c r="CT8" t="s">
        <v>460</v>
      </c>
      <c r="CU8" s="1">
        <f>B9</f>
        <v>10.6</v>
      </c>
      <c r="CV8" t="s">
        <v>449</v>
      </c>
      <c r="CW8" t="s">
        <v>51</v>
      </c>
      <c r="CX8">
        <v>350</v>
      </c>
      <c r="CY8" t="s">
        <v>60</v>
      </c>
      <c r="CZ8" t="s">
        <v>461</v>
      </c>
      <c r="DA8" s="14">
        <f>B15</f>
        <v>2.1100000000000001E-5</v>
      </c>
      <c r="DB8" t="s">
        <v>448</v>
      </c>
      <c r="DC8" t="s">
        <v>469</v>
      </c>
      <c r="DD8" s="427">
        <f>(DD9*DD15*DD16*DD22)+(DD10*DD14*DD17*DD23)</f>
        <v>9024.75</v>
      </c>
      <c r="DE8" t="s">
        <v>213</v>
      </c>
      <c r="DF8" t="s">
        <v>68</v>
      </c>
      <c r="DG8">
        <v>3.62</v>
      </c>
      <c r="DH8" t="s">
        <v>69</v>
      </c>
      <c r="DI8" t="s">
        <v>70</v>
      </c>
      <c r="DJ8">
        <v>0.26</v>
      </c>
      <c r="DL8" t="s">
        <v>70</v>
      </c>
      <c r="DM8">
        <v>0.26</v>
      </c>
      <c r="DO8" t="s">
        <v>68</v>
      </c>
      <c r="DP8">
        <v>3.62</v>
      </c>
      <c r="DQ8" t="s">
        <v>69</v>
      </c>
      <c r="DR8" t="s">
        <v>257</v>
      </c>
      <c r="DS8" s="427">
        <f>(DS11*DS13*DS9*DS19)+(DS12*DS14*DS10*DS20)</f>
        <v>196402.5</v>
      </c>
      <c r="DT8" t="s">
        <v>213</v>
      </c>
      <c r="DX8" t="s">
        <v>70</v>
      </c>
      <c r="DY8">
        <v>0.25</v>
      </c>
      <c r="EA8" t="s">
        <v>70</v>
      </c>
      <c r="EB8">
        <v>0.25</v>
      </c>
      <c r="ED8" t="s">
        <v>70</v>
      </c>
      <c r="EE8">
        <v>0.25</v>
      </c>
      <c r="EG8" t="s">
        <v>258</v>
      </c>
      <c r="EH8" s="427">
        <f>(EH13*EH11*EH9*EH19)+(EH14*EH12*EH10*EH20)</f>
        <v>41592.465753424665</v>
      </c>
      <c r="EI8" t="s">
        <v>213</v>
      </c>
      <c r="EM8" t="s">
        <v>70</v>
      </c>
      <c r="EN8">
        <v>0.25</v>
      </c>
      <c r="EP8" t="s">
        <v>70</v>
      </c>
      <c r="EQ8">
        <v>0.25</v>
      </c>
      <c r="ES8" t="s">
        <v>70</v>
      </c>
      <c r="ET8">
        <v>0.25</v>
      </c>
      <c r="EV8" t="s">
        <v>260</v>
      </c>
      <c r="EW8" s="427">
        <f>(EW11*EW13*EW9*EW19)+(EW12*EW14*EW10*EW20)</f>
        <v>12475.342465753425</v>
      </c>
      <c r="EX8" t="s">
        <v>213</v>
      </c>
      <c r="FB8" t="s">
        <v>290</v>
      </c>
      <c r="FC8">
        <v>0.25</v>
      </c>
      <c r="FE8" t="s">
        <v>290</v>
      </c>
      <c r="FF8">
        <v>0.25</v>
      </c>
      <c r="FH8" t="s">
        <v>290</v>
      </c>
      <c r="FI8">
        <v>0.25</v>
      </c>
      <c r="FK8" t="s">
        <v>263</v>
      </c>
      <c r="FL8" s="402">
        <f>(FL13*FL9*FL11*FL19)+(FL14*FL10*FL12*FL20)</f>
        <v>38250.684931506847</v>
      </c>
      <c r="FM8" t="s">
        <v>213</v>
      </c>
      <c r="FT8" t="s">
        <v>285</v>
      </c>
      <c r="FU8">
        <v>0.25</v>
      </c>
      <c r="FW8" t="s">
        <v>285</v>
      </c>
      <c r="FX8">
        <v>0.25</v>
      </c>
      <c r="FZ8" t="s">
        <v>266</v>
      </c>
      <c r="GA8" s="402">
        <f>(GA11*GA9*GA13*GA19)+(GA14*GA10*GA12*GA20)</f>
        <v>29898.630136986299</v>
      </c>
      <c r="GB8" t="s">
        <v>213</v>
      </c>
      <c r="GF8" t="s">
        <v>279</v>
      </c>
      <c r="GG8">
        <v>0.25</v>
      </c>
      <c r="GI8" t="s">
        <v>279</v>
      </c>
      <c r="GJ8">
        <v>0.25</v>
      </c>
      <c r="GL8" t="s">
        <v>279</v>
      </c>
      <c r="GM8">
        <v>0.25</v>
      </c>
      <c r="GO8" t="s">
        <v>267</v>
      </c>
      <c r="GP8" s="427">
        <f>(GP13*GP9*GP11*GP18)+(GP14*GP10*GP12*GP19)</f>
        <v>23224.657534246577</v>
      </c>
      <c r="GQ8" t="s">
        <v>213</v>
      </c>
      <c r="GU8" t="s">
        <v>284</v>
      </c>
      <c r="GV8">
        <v>0.25</v>
      </c>
      <c r="GX8" t="s">
        <v>284</v>
      </c>
      <c r="GY8">
        <v>0.25</v>
      </c>
      <c r="HA8" t="s">
        <v>284</v>
      </c>
      <c r="HB8">
        <v>0.25</v>
      </c>
      <c r="HD8" t="s">
        <v>411</v>
      </c>
      <c r="HE8" s="1">
        <f>B17</f>
        <v>1.04753425E-2</v>
      </c>
      <c r="HF8" t="s">
        <v>119</v>
      </c>
    </row>
    <row r="9" spans="1:214" x14ac:dyDescent="0.2">
      <c r="A9" t="s">
        <v>460</v>
      </c>
      <c r="B9" s="410">
        <v>10.6</v>
      </c>
      <c r="C9" t="s">
        <v>449</v>
      </c>
      <c r="D9" t="s">
        <v>65</v>
      </c>
      <c r="E9">
        <v>1</v>
      </c>
      <c r="F9" t="s">
        <v>59</v>
      </c>
      <c r="G9" t="s">
        <v>447</v>
      </c>
      <c r="H9" s="1">
        <f>B16</f>
        <v>0</v>
      </c>
      <c r="I9" t="s">
        <v>61</v>
      </c>
      <c r="J9" t="s">
        <v>447</v>
      </c>
      <c r="K9" s="1">
        <f>B16</f>
        <v>0</v>
      </c>
      <c r="L9" t="s">
        <v>61</v>
      </c>
      <c r="M9" t="s">
        <v>51</v>
      </c>
      <c r="N9">
        <v>350</v>
      </c>
      <c r="O9" t="s">
        <v>60</v>
      </c>
      <c r="P9" t="s">
        <v>51</v>
      </c>
      <c r="Q9">
        <v>350</v>
      </c>
      <c r="R9" t="s">
        <v>60</v>
      </c>
      <c r="S9" t="s">
        <v>51</v>
      </c>
      <c r="T9">
        <v>350</v>
      </c>
      <c r="U9" t="s">
        <v>60</v>
      </c>
      <c r="V9" t="s">
        <v>65</v>
      </c>
      <c r="W9">
        <v>1</v>
      </c>
      <c r="X9" t="s">
        <v>59</v>
      </c>
      <c r="Y9" t="s">
        <v>65</v>
      </c>
      <c r="Z9">
        <v>1</v>
      </c>
      <c r="AA9" t="s">
        <v>59</v>
      </c>
      <c r="AB9" t="s">
        <v>438</v>
      </c>
      <c r="AC9" s="1">
        <f>B8</f>
        <v>0</v>
      </c>
      <c r="AD9" s="1">
        <f>B8</f>
        <v>0</v>
      </c>
      <c r="AE9" s="1">
        <f>B8</f>
        <v>0</v>
      </c>
      <c r="AF9" s="1">
        <f>B8</f>
        <v>0</v>
      </c>
      <c r="AG9" s="1">
        <f>B8</f>
        <v>0</v>
      </c>
      <c r="AH9" t="s">
        <v>448</v>
      </c>
      <c r="AI9" t="s">
        <v>51</v>
      </c>
      <c r="AJ9">
        <v>250</v>
      </c>
      <c r="AK9" t="s">
        <v>60</v>
      </c>
      <c r="AL9" t="s">
        <v>51</v>
      </c>
      <c r="AM9">
        <v>250</v>
      </c>
      <c r="AN9" t="s">
        <v>60</v>
      </c>
      <c r="AO9" t="s">
        <v>51</v>
      </c>
      <c r="AP9">
        <v>250</v>
      </c>
      <c r="AQ9" t="s">
        <v>60</v>
      </c>
      <c r="AR9" t="s">
        <v>51</v>
      </c>
      <c r="AS9">
        <v>225</v>
      </c>
      <c r="AT9" t="s">
        <v>60</v>
      </c>
      <c r="AU9" t="s">
        <v>51</v>
      </c>
      <c r="AV9">
        <v>225</v>
      </c>
      <c r="AW9" t="s">
        <v>60</v>
      </c>
      <c r="AX9" t="s">
        <v>51</v>
      </c>
      <c r="AY9">
        <v>225</v>
      </c>
      <c r="AZ9" t="s">
        <v>60</v>
      </c>
      <c r="BA9" t="s">
        <v>51</v>
      </c>
      <c r="BB9">
        <v>250</v>
      </c>
      <c r="BC9" t="s">
        <v>60</v>
      </c>
      <c r="BD9" t="s">
        <v>51</v>
      </c>
      <c r="BE9">
        <v>250</v>
      </c>
      <c r="BF9" t="s">
        <v>60</v>
      </c>
      <c r="BG9" t="s">
        <v>51</v>
      </c>
      <c r="BH9">
        <v>250</v>
      </c>
      <c r="BI9" t="s">
        <v>60</v>
      </c>
      <c r="BJ9" t="s">
        <v>51</v>
      </c>
      <c r="BK9">
        <f>BK10*BK11</f>
        <v>250</v>
      </c>
      <c r="BL9" t="s">
        <v>60</v>
      </c>
      <c r="BM9" t="s">
        <v>51</v>
      </c>
      <c r="BN9">
        <f>BN10*BN11</f>
        <v>250</v>
      </c>
      <c r="BO9" t="s">
        <v>60</v>
      </c>
      <c r="BP9" t="s">
        <v>51</v>
      </c>
      <c r="BQ9">
        <f>BQ10*BQ11</f>
        <v>250</v>
      </c>
      <c r="BR9" t="s">
        <v>60</v>
      </c>
      <c r="BS9" t="s">
        <v>65</v>
      </c>
      <c r="BT9">
        <v>1</v>
      </c>
      <c r="BU9" t="s">
        <v>59</v>
      </c>
      <c r="BV9" t="s">
        <v>447</v>
      </c>
      <c r="BW9" s="1">
        <f>E35</f>
        <v>0</v>
      </c>
      <c r="BX9" t="s">
        <v>448</v>
      </c>
      <c r="BY9" t="s">
        <v>148</v>
      </c>
      <c r="BZ9" s="1">
        <f>B18</f>
        <v>1359344473.5814338</v>
      </c>
      <c r="CA9" t="s">
        <v>149</v>
      </c>
      <c r="CB9" t="s">
        <v>51</v>
      </c>
      <c r="CC9">
        <v>75</v>
      </c>
      <c r="CD9" t="s">
        <v>60</v>
      </c>
      <c r="CE9" t="s">
        <v>51</v>
      </c>
      <c r="CF9">
        <v>75</v>
      </c>
      <c r="CG9" t="s">
        <v>60</v>
      </c>
      <c r="CH9" t="s">
        <v>51</v>
      </c>
      <c r="CI9">
        <v>75</v>
      </c>
      <c r="CJ9" t="s">
        <v>60</v>
      </c>
      <c r="CK9" t="s">
        <v>300</v>
      </c>
      <c r="CL9" s="17">
        <v>1</v>
      </c>
      <c r="CM9" t="s">
        <v>380</v>
      </c>
      <c r="CN9" t="s">
        <v>310</v>
      </c>
      <c r="CO9" s="17">
        <v>0.25</v>
      </c>
      <c r="CT9" t="s">
        <v>447</v>
      </c>
      <c r="CU9" s="1">
        <f>B16</f>
        <v>0</v>
      </c>
      <c r="CV9" t="s">
        <v>448</v>
      </c>
      <c r="CW9" t="s">
        <v>65</v>
      </c>
      <c r="CX9">
        <v>1</v>
      </c>
      <c r="CY9" t="s">
        <v>59</v>
      </c>
      <c r="CZ9" t="s">
        <v>447</v>
      </c>
      <c r="DA9" s="1">
        <f>B16</f>
        <v>0</v>
      </c>
      <c r="DB9" t="s">
        <v>448</v>
      </c>
      <c r="DC9" t="s">
        <v>467</v>
      </c>
      <c r="DD9" s="1">
        <f>B42</f>
        <v>10.4</v>
      </c>
      <c r="DE9" t="s">
        <v>380</v>
      </c>
      <c r="DF9" t="s">
        <v>74</v>
      </c>
      <c r="DG9">
        <v>0.25</v>
      </c>
      <c r="DH9" t="s">
        <v>75</v>
      </c>
      <c r="DO9" t="s">
        <v>74</v>
      </c>
      <c r="DP9">
        <v>0.25</v>
      </c>
      <c r="DQ9" t="s">
        <v>75</v>
      </c>
      <c r="DR9" t="s">
        <v>254</v>
      </c>
      <c r="DS9">
        <f>B45</f>
        <v>256</v>
      </c>
      <c r="DT9" t="s">
        <v>380</v>
      </c>
      <c r="DX9" t="s">
        <v>317</v>
      </c>
      <c r="DY9" s="1">
        <f>B23</f>
        <v>0</v>
      </c>
      <c r="EA9" t="s">
        <v>317</v>
      </c>
      <c r="EB9" s="1">
        <f>B23</f>
        <v>0</v>
      </c>
      <c r="ED9" t="s">
        <v>317</v>
      </c>
      <c r="EE9" s="1">
        <f>B23</f>
        <v>0</v>
      </c>
      <c r="EG9" t="s">
        <v>91</v>
      </c>
      <c r="EH9">
        <f>4.7*1000/365</f>
        <v>12.876712328767123</v>
      </c>
      <c r="EI9" t="s">
        <v>380</v>
      </c>
      <c r="EM9" t="s">
        <v>318</v>
      </c>
      <c r="EN9" s="1">
        <f>B24</f>
        <v>0</v>
      </c>
      <c r="EP9" t="s">
        <v>318</v>
      </c>
      <c r="EQ9" s="1">
        <f>B24</f>
        <v>0</v>
      </c>
      <c r="ES9" t="s">
        <v>318</v>
      </c>
      <c r="ET9" s="1">
        <f>B24</f>
        <v>0</v>
      </c>
      <c r="EV9" t="s">
        <v>261</v>
      </c>
      <c r="EW9">
        <f>2.3*1000/365</f>
        <v>6.3013698630136989</v>
      </c>
      <c r="EX9" t="s">
        <v>380</v>
      </c>
      <c r="FB9" t="s">
        <v>319</v>
      </c>
      <c r="FC9" s="406">
        <f>B26</f>
        <v>0</v>
      </c>
      <c r="FE9" t="s">
        <v>319</v>
      </c>
      <c r="FF9" s="406">
        <f>B26</f>
        <v>0</v>
      </c>
      <c r="FH9" t="s">
        <v>319</v>
      </c>
      <c r="FI9" s="406">
        <f>B26</f>
        <v>0</v>
      </c>
      <c r="FK9" t="s">
        <v>235</v>
      </c>
      <c r="FL9">
        <f>6.4*1000/365</f>
        <v>17.534246575342465</v>
      </c>
      <c r="FM9" t="s">
        <v>380</v>
      </c>
      <c r="FT9" t="s">
        <v>320</v>
      </c>
      <c r="FU9" s="17">
        <v>1</v>
      </c>
      <c r="FW9" t="s">
        <v>320</v>
      </c>
      <c r="FX9" s="17">
        <v>1</v>
      </c>
      <c r="FZ9" t="s">
        <v>233</v>
      </c>
      <c r="GA9" s="15">
        <f>5*1000/365</f>
        <v>13.698630136986301</v>
      </c>
      <c r="GB9" t="s">
        <v>380</v>
      </c>
      <c r="GF9" t="s">
        <v>321</v>
      </c>
      <c r="GG9" s="406">
        <f>B25</f>
        <v>0</v>
      </c>
      <c r="GI9" t="s">
        <v>321</v>
      </c>
      <c r="GJ9" s="406">
        <f>B25</f>
        <v>0</v>
      </c>
      <c r="GL9" t="s">
        <v>321</v>
      </c>
      <c r="GM9" s="406">
        <f>B25</f>
        <v>0</v>
      </c>
      <c r="GO9" t="s">
        <v>269</v>
      </c>
      <c r="GP9">
        <f>4.5*1000/365</f>
        <v>12.328767123287671</v>
      </c>
      <c r="GQ9" t="s">
        <v>380</v>
      </c>
      <c r="GU9" t="s">
        <v>322</v>
      </c>
      <c r="GV9" s="406">
        <f>B27</f>
        <v>0</v>
      </c>
      <c r="GX9" t="s">
        <v>322</v>
      </c>
      <c r="GY9" s="406">
        <f>B27</f>
        <v>0</v>
      </c>
      <c r="HA9" t="s">
        <v>322</v>
      </c>
      <c r="HB9" s="406">
        <f>B27</f>
        <v>0</v>
      </c>
      <c r="HD9" t="s">
        <v>71</v>
      </c>
      <c r="HE9">
        <v>0.3</v>
      </c>
    </row>
    <row r="10" spans="1:214" x14ac:dyDescent="0.2">
      <c r="A10" t="s">
        <v>441</v>
      </c>
      <c r="B10" s="410">
        <v>1.96</v>
      </c>
      <c r="C10" t="s">
        <v>450</v>
      </c>
      <c r="D10" t="s">
        <v>436</v>
      </c>
      <c r="E10" s="1">
        <f>B5</f>
        <v>0</v>
      </c>
      <c r="F10" t="s">
        <v>61</v>
      </c>
      <c r="G10" t="s">
        <v>451</v>
      </c>
      <c r="H10" s="1" t="e">
        <f>H5/(H6*H15)</f>
        <v>#DIV/0!</v>
      </c>
      <c r="I10" t="s">
        <v>21</v>
      </c>
      <c r="J10" t="s">
        <v>148</v>
      </c>
      <c r="K10" s="1">
        <f>B18</f>
        <v>1359344473.5814338</v>
      </c>
      <c r="L10" t="s">
        <v>149</v>
      </c>
      <c r="M10" t="s">
        <v>65</v>
      </c>
      <c r="N10">
        <v>1</v>
      </c>
      <c r="O10" t="s">
        <v>59</v>
      </c>
      <c r="P10" t="s">
        <v>65</v>
      </c>
      <c r="Q10">
        <v>1</v>
      </c>
      <c r="R10" t="s">
        <v>59</v>
      </c>
      <c r="S10" t="s">
        <v>65</v>
      </c>
      <c r="T10">
        <v>1</v>
      </c>
      <c r="U10" t="s">
        <v>59</v>
      </c>
      <c r="V10" t="s">
        <v>436</v>
      </c>
      <c r="W10" s="1">
        <f>B5</f>
        <v>0</v>
      </c>
      <c r="X10" t="s">
        <v>72</v>
      </c>
      <c r="Y10" t="s">
        <v>436</v>
      </c>
      <c r="Z10" s="1">
        <f>B5</f>
        <v>0</v>
      </c>
      <c r="AA10" t="s">
        <v>72</v>
      </c>
      <c r="AI10" t="s">
        <v>65</v>
      </c>
      <c r="AJ10">
        <v>1</v>
      </c>
      <c r="AK10" t="s">
        <v>59</v>
      </c>
      <c r="AL10" t="s">
        <v>65</v>
      </c>
      <c r="AM10">
        <v>1</v>
      </c>
      <c r="AN10" t="s">
        <v>59</v>
      </c>
      <c r="AO10" t="s">
        <v>65</v>
      </c>
      <c r="AP10">
        <v>1</v>
      </c>
      <c r="AQ10" t="s">
        <v>59</v>
      </c>
      <c r="AR10" t="s">
        <v>65</v>
      </c>
      <c r="AS10">
        <v>1</v>
      </c>
      <c r="AT10" t="s">
        <v>59</v>
      </c>
      <c r="AU10" t="s">
        <v>65</v>
      </c>
      <c r="AV10">
        <v>1</v>
      </c>
      <c r="AW10" t="s">
        <v>59</v>
      </c>
      <c r="AX10" t="s">
        <v>65</v>
      </c>
      <c r="AY10">
        <v>1</v>
      </c>
      <c r="AZ10" t="s">
        <v>59</v>
      </c>
      <c r="BA10" t="s">
        <v>65</v>
      </c>
      <c r="BB10">
        <v>1</v>
      </c>
      <c r="BC10" t="s">
        <v>59</v>
      </c>
      <c r="BD10" t="s">
        <v>65</v>
      </c>
      <c r="BE10">
        <v>1</v>
      </c>
      <c r="BF10" t="s">
        <v>59</v>
      </c>
      <c r="BG10" t="s">
        <v>65</v>
      </c>
      <c r="BH10">
        <v>1</v>
      </c>
      <c r="BI10" t="s">
        <v>59</v>
      </c>
      <c r="BJ10" t="s">
        <v>378</v>
      </c>
      <c r="BK10">
        <v>50</v>
      </c>
      <c r="BL10" t="s">
        <v>389</v>
      </c>
      <c r="BM10" t="s">
        <v>378</v>
      </c>
      <c r="BN10">
        <v>50</v>
      </c>
      <c r="BO10" t="s">
        <v>389</v>
      </c>
      <c r="BP10" t="s">
        <v>378</v>
      </c>
      <c r="BQ10">
        <v>50</v>
      </c>
      <c r="BR10" t="s">
        <v>389</v>
      </c>
      <c r="BS10" t="s">
        <v>436</v>
      </c>
      <c r="BT10" s="1">
        <f>E10</f>
        <v>0</v>
      </c>
      <c r="BU10" t="s">
        <v>448</v>
      </c>
      <c r="BV10" t="s">
        <v>451</v>
      </c>
      <c r="BW10" s="1" t="e">
        <f>BW5/(BW6*BW13)</f>
        <v>#DIV/0!</v>
      </c>
      <c r="BX10" t="s">
        <v>21</v>
      </c>
      <c r="BY10" t="s">
        <v>37</v>
      </c>
      <c r="BZ10" s="1">
        <f>(BZ33*BZ11)/(1-EXP(-BZ11*BZ33))</f>
        <v>1720.0392254477595</v>
      </c>
      <c r="CB10" t="s">
        <v>65</v>
      </c>
      <c r="CC10">
        <v>1</v>
      </c>
      <c r="CD10" t="s">
        <v>59</v>
      </c>
      <c r="CE10" t="s">
        <v>65</v>
      </c>
      <c r="CF10">
        <v>1</v>
      </c>
      <c r="CG10" t="s">
        <v>59</v>
      </c>
      <c r="CH10" t="s">
        <v>65</v>
      </c>
      <c r="CI10">
        <v>1</v>
      </c>
      <c r="CJ10" t="s">
        <v>59</v>
      </c>
      <c r="CN10" t="s">
        <v>308</v>
      </c>
      <c r="CO10" s="17">
        <v>1</v>
      </c>
      <c r="CP10" t="s">
        <v>431</v>
      </c>
      <c r="CT10" t="s">
        <v>148</v>
      </c>
      <c r="CU10" s="1">
        <f>B18</f>
        <v>1359344473.5814338</v>
      </c>
      <c r="CV10" t="s">
        <v>149</v>
      </c>
      <c r="CW10" t="s">
        <v>436</v>
      </c>
      <c r="CX10" s="1">
        <f>B5</f>
        <v>0</v>
      </c>
      <c r="CY10" t="s">
        <v>448</v>
      </c>
      <c r="CZ10" t="s">
        <v>37</v>
      </c>
      <c r="DA10" s="1">
        <f>(DA39*DA11)/(1-EXP(-DA11*DA39))</f>
        <v>66.155354824913829</v>
      </c>
      <c r="DC10" t="s">
        <v>468</v>
      </c>
      <c r="DD10" s="1">
        <f>B43</f>
        <v>28.5</v>
      </c>
      <c r="DE10" t="s">
        <v>380</v>
      </c>
      <c r="DF10" t="s">
        <v>63</v>
      </c>
      <c r="DG10">
        <f>B28</f>
        <v>0</v>
      </c>
      <c r="DO10" t="s">
        <v>63</v>
      </c>
      <c r="DP10">
        <f>B28</f>
        <v>0</v>
      </c>
      <c r="DR10" t="s">
        <v>255</v>
      </c>
      <c r="DS10">
        <f>B46</f>
        <v>615</v>
      </c>
      <c r="DT10" t="s">
        <v>380</v>
      </c>
      <c r="DX10" t="s">
        <v>84</v>
      </c>
      <c r="DY10">
        <v>16.899999999999999</v>
      </c>
      <c r="EA10" t="s">
        <v>84</v>
      </c>
      <c r="EB10">
        <v>16.899999999999999</v>
      </c>
      <c r="ED10" t="s">
        <v>84</v>
      </c>
      <c r="EE10">
        <v>16.899999999999999</v>
      </c>
      <c r="EG10" t="s">
        <v>109</v>
      </c>
      <c r="EH10">
        <f>50.2*1000/365</f>
        <v>137.53424657534248</v>
      </c>
      <c r="EI10" t="s">
        <v>380</v>
      </c>
      <c r="EM10" t="s">
        <v>85</v>
      </c>
      <c r="EN10">
        <v>11.77</v>
      </c>
      <c r="EP10" t="s">
        <v>85</v>
      </c>
      <c r="EQ10">
        <v>11.77</v>
      </c>
      <c r="ES10" t="s">
        <v>85</v>
      </c>
      <c r="ET10">
        <v>11.77</v>
      </c>
      <c r="EV10" t="s">
        <v>262</v>
      </c>
      <c r="EW10">
        <f>14.9*1000/365</f>
        <v>40.821917808219176</v>
      </c>
      <c r="EX10" t="s">
        <v>380</v>
      </c>
      <c r="FB10" t="s">
        <v>292</v>
      </c>
      <c r="FC10">
        <v>0.2</v>
      </c>
      <c r="FE10" t="s">
        <v>292</v>
      </c>
      <c r="FF10">
        <v>0.2</v>
      </c>
      <c r="FH10" t="s">
        <v>292</v>
      </c>
      <c r="FI10">
        <v>0.2</v>
      </c>
      <c r="FK10" t="s">
        <v>236</v>
      </c>
      <c r="FL10">
        <f>45.8*1000/365</f>
        <v>125.47945205479452</v>
      </c>
      <c r="FM10" t="s">
        <v>380</v>
      </c>
      <c r="FT10" t="s">
        <v>289</v>
      </c>
      <c r="FU10" s="17">
        <v>1</v>
      </c>
      <c r="FW10" t="s">
        <v>289</v>
      </c>
      <c r="FX10" s="17">
        <v>1</v>
      </c>
      <c r="FZ10" t="s">
        <v>234</v>
      </c>
      <c r="GA10">
        <f>35.8*1000/365</f>
        <v>98.082191780821915</v>
      </c>
      <c r="GB10" t="s">
        <v>380</v>
      </c>
      <c r="GF10" t="s">
        <v>275</v>
      </c>
      <c r="GG10">
        <v>0.2</v>
      </c>
      <c r="GI10" t="s">
        <v>275</v>
      </c>
      <c r="GJ10">
        <v>0.2</v>
      </c>
      <c r="GL10" t="s">
        <v>275</v>
      </c>
      <c r="GM10">
        <v>0.2</v>
      </c>
      <c r="GO10" t="s">
        <v>268</v>
      </c>
      <c r="GP10">
        <f>27.7*1000/365</f>
        <v>75.890410958904113</v>
      </c>
      <c r="GQ10" t="s">
        <v>380</v>
      </c>
      <c r="GU10" t="s">
        <v>280</v>
      </c>
      <c r="GV10">
        <v>4.7</v>
      </c>
      <c r="GX10" t="s">
        <v>280</v>
      </c>
      <c r="GY10">
        <v>4.7</v>
      </c>
      <c r="HA10" t="s">
        <v>280</v>
      </c>
      <c r="HB10">
        <v>4.7</v>
      </c>
      <c r="HD10" t="s">
        <v>76</v>
      </c>
      <c r="HE10" s="1">
        <v>1.5</v>
      </c>
    </row>
    <row r="11" spans="1:214" x14ac:dyDescent="0.2">
      <c r="A11" t="s">
        <v>442</v>
      </c>
      <c r="B11" s="410">
        <v>1.94</v>
      </c>
      <c r="C11" t="s">
        <v>449</v>
      </c>
      <c r="D11" t="s">
        <v>77</v>
      </c>
      <c r="E11" s="427">
        <f>((E14/E15)*E24*E12*E16*E26)+((E14/E15)*E25*E13*E17*E27)</f>
        <v>6192.3076923076924</v>
      </c>
      <c r="F11" t="s">
        <v>407</v>
      </c>
      <c r="G11" t="s">
        <v>452</v>
      </c>
      <c r="H11" s="1" t="e">
        <f>H5/(H7*H16*H28)</f>
        <v>#DIV/0!</v>
      </c>
      <c r="I11" t="s">
        <v>21</v>
      </c>
      <c r="J11" t="s">
        <v>37</v>
      </c>
      <c r="K11" s="1">
        <f>(K45*K12)/(1-EXP(-K12*K45))</f>
        <v>1720.0392254477595</v>
      </c>
      <c r="M11" t="s">
        <v>462</v>
      </c>
      <c r="N11">
        <v>0.4</v>
      </c>
      <c r="P11" t="s">
        <v>462</v>
      </c>
      <c r="Q11">
        <v>0.4</v>
      </c>
      <c r="S11" t="s">
        <v>462</v>
      </c>
      <c r="T11">
        <v>0.4</v>
      </c>
      <c r="V11" t="s">
        <v>79</v>
      </c>
      <c r="W11">
        <v>8</v>
      </c>
      <c r="X11" t="s">
        <v>80</v>
      </c>
      <c r="Y11" t="s">
        <v>79</v>
      </c>
      <c r="Z11">
        <v>8</v>
      </c>
      <c r="AA11" t="s">
        <v>80</v>
      </c>
      <c r="AB11" t="s">
        <v>65</v>
      </c>
      <c r="AC11">
        <v>1</v>
      </c>
      <c r="AD11">
        <v>1</v>
      </c>
      <c r="AE11">
        <v>1</v>
      </c>
      <c r="AF11">
        <v>1</v>
      </c>
      <c r="AG11">
        <v>1</v>
      </c>
      <c r="AH11" t="s">
        <v>88</v>
      </c>
      <c r="AI11" t="s">
        <v>462</v>
      </c>
      <c r="AJ11">
        <v>0.4</v>
      </c>
      <c r="AL11" t="s">
        <v>462</v>
      </c>
      <c r="AM11">
        <v>0.4</v>
      </c>
      <c r="AO11" t="s">
        <v>462</v>
      </c>
      <c r="AP11">
        <v>0.4</v>
      </c>
      <c r="AR11" t="s">
        <v>462</v>
      </c>
      <c r="AS11">
        <v>0.4</v>
      </c>
      <c r="AU11" t="s">
        <v>462</v>
      </c>
      <c r="AV11">
        <v>0.4</v>
      </c>
      <c r="AX11" t="s">
        <v>462</v>
      </c>
      <c r="AY11">
        <v>0.4</v>
      </c>
      <c r="BA11" t="s">
        <v>462</v>
      </c>
      <c r="BB11">
        <v>0.4</v>
      </c>
      <c r="BD11" t="s">
        <v>462</v>
      </c>
      <c r="BE11">
        <v>0.4</v>
      </c>
      <c r="BG11" t="s">
        <v>462</v>
      </c>
      <c r="BH11">
        <v>0.4</v>
      </c>
      <c r="BJ11" t="s">
        <v>377</v>
      </c>
      <c r="BK11">
        <v>5</v>
      </c>
      <c r="BL11" t="s">
        <v>390</v>
      </c>
      <c r="BM11" t="s">
        <v>377</v>
      </c>
      <c r="BN11">
        <v>5</v>
      </c>
      <c r="BO11" t="s">
        <v>390</v>
      </c>
      <c r="BP11" t="s">
        <v>377</v>
      </c>
      <c r="BQ11">
        <v>5</v>
      </c>
      <c r="BR11" t="s">
        <v>390</v>
      </c>
      <c r="BS11" t="s">
        <v>77</v>
      </c>
      <c r="BT11" s="427">
        <f>(BT25*BT17*BT14*(1/24)*BT12*BT29)+(BT26*BT18*BT15*(1/24)*BT13*BT30)</f>
        <v>93.75</v>
      </c>
      <c r="BU11" t="s">
        <v>407</v>
      </c>
      <c r="BV11" t="s">
        <v>452</v>
      </c>
      <c r="BW11" s="1"/>
      <c r="BX11" t="s">
        <v>21</v>
      </c>
      <c r="BY11" t="s">
        <v>49</v>
      </c>
      <c r="BZ11" s="1">
        <f>0.693/BZ12</f>
        <v>66.155354824913829</v>
      </c>
      <c r="CB11" t="s">
        <v>463</v>
      </c>
      <c r="CC11">
        <v>6.8000000000000005E-2</v>
      </c>
      <c r="CE11" t="s">
        <v>463</v>
      </c>
      <c r="CF11">
        <v>3.7100000000000001E-2</v>
      </c>
      <c r="CH11" t="s">
        <v>463</v>
      </c>
      <c r="CI11">
        <v>5.8400000000000001E-2</v>
      </c>
      <c r="CN11" t="s">
        <v>305</v>
      </c>
      <c r="CO11" s="17">
        <v>1</v>
      </c>
      <c r="CP11" t="s">
        <v>431</v>
      </c>
      <c r="CT11" t="s">
        <v>37</v>
      </c>
      <c r="CU11" s="1">
        <f>(CU45*CU12)/(1-EXP(-CU12*CU45))</f>
        <v>2646.2141929965533</v>
      </c>
      <c r="CW11" t="s">
        <v>77</v>
      </c>
      <c r="CX11" s="427">
        <f>((CX15/24)*CX24*CX12*CX16*CX26)+((CX14/24)*CX25*CX13*CX17*CX27)</f>
        <v>6475</v>
      </c>
      <c r="CY11" t="s">
        <v>407</v>
      </c>
      <c r="CZ11" t="s">
        <v>49</v>
      </c>
      <c r="DA11" s="1">
        <f>0.693/DA12</f>
        <v>66.155354824913829</v>
      </c>
      <c r="DC11" t="s">
        <v>470</v>
      </c>
      <c r="DD11" s="427">
        <f>(DD12*DD15*DD16*DD22)+(DD13*DD14*DD17*DD23)</f>
        <v>17496.5</v>
      </c>
      <c r="DE11" t="s">
        <v>213</v>
      </c>
      <c r="DF11" t="s">
        <v>92</v>
      </c>
      <c r="DG11">
        <f>DG19+DG20</f>
        <v>0.18144061256544503</v>
      </c>
      <c r="DO11" t="s">
        <v>92</v>
      </c>
      <c r="DP11">
        <f>DP19+DP20</f>
        <v>2.6999999999999999E-5</v>
      </c>
      <c r="DR11" t="s">
        <v>67</v>
      </c>
      <c r="DS11">
        <v>350</v>
      </c>
      <c r="DT11" t="s">
        <v>52</v>
      </c>
      <c r="DX11" t="s">
        <v>93</v>
      </c>
      <c r="DY11">
        <v>0.41</v>
      </c>
      <c r="EA11" t="s">
        <v>93</v>
      </c>
      <c r="EB11">
        <v>0.41</v>
      </c>
      <c r="ED11" t="s">
        <v>93</v>
      </c>
      <c r="EE11">
        <v>0.41</v>
      </c>
      <c r="EG11" t="s">
        <v>67</v>
      </c>
      <c r="EH11">
        <v>350</v>
      </c>
      <c r="EI11" t="s">
        <v>52</v>
      </c>
      <c r="EM11" t="s">
        <v>94</v>
      </c>
      <c r="EN11">
        <v>0.39</v>
      </c>
      <c r="EP11" t="s">
        <v>94</v>
      </c>
      <c r="EQ11">
        <v>0.39</v>
      </c>
      <c r="ES11" t="s">
        <v>94</v>
      </c>
      <c r="ET11">
        <v>0.39</v>
      </c>
      <c r="EV11" t="s">
        <v>385</v>
      </c>
      <c r="EW11">
        <v>350</v>
      </c>
      <c r="EX11" t="s">
        <v>52</v>
      </c>
      <c r="FB11" t="s">
        <v>291</v>
      </c>
      <c r="FC11">
        <v>2.1999999999999999E-2</v>
      </c>
      <c r="FE11" t="s">
        <v>291</v>
      </c>
      <c r="FF11">
        <v>2.1999999999999999E-2</v>
      </c>
      <c r="FH11" t="s">
        <v>291</v>
      </c>
      <c r="FI11">
        <v>2.1999999999999999E-2</v>
      </c>
      <c r="FK11" t="s">
        <v>385</v>
      </c>
      <c r="FL11">
        <v>350</v>
      </c>
      <c r="FM11" t="s">
        <v>52</v>
      </c>
      <c r="FT11" t="s">
        <v>288</v>
      </c>
      <c r="FU11" s="17">
        <v>1</v>
      </c>
      <c r="FW11" t="s">
        <v>288</v>
      </c>
      <c r="FX11" s="17">
        <v>1</v>
      </c>
      <c r="FZ11" t="s">
        <v>385</v>
      </c>
      <c r="GA11">
        <v>350</v>
      </c>
      <c r="GB11" t="s">
        <v>52</v>
      </c>
      <c r="GF11" t="s">
        <v>276</v>
      </c>
      <c r="GG11">
        <v>2.1999999999999999E-2</v>
      </c>
      <c r="GI11" t="s">
        <v>276</v>
      </c>
      <c r="GJ11">
        <v>2.1999999999999999E-2</v>
      </c>
      <c r="GL11" t="s">
        <v>276</v>
      </c>
      <c r="GM11">
        <v>2.1999999999999999E-2</v>
      </c>
      <c r="GO11" t="s">
        <v>385</v>
      </c>
      <c r="GP11">
        <v>350</v>
      </c>
      <c r="GQ11" t="s">
        <v>52</v>
      </c>
      <c r="GU11" t="s">
        <v>281</v>
      </c>
      <c r="GV11">
        <v>0.37</v>
      </c>
      <c r="GX11" t="s">
        <v>281</v>
      </c>
      <c r="GY11">
        <v>0.37</v>
      </c>
      <c r="HA11" t="s">
        <v>281</v>
      </c>
      <c r="HB11">
        <v>0.37</v>
      </c>
      <c r="HD11" t="s">
        <v>86</v>
      </c>
      <c r="HE11">
        <v>26</v>
      </c>
    </row>
    <row r="12" spans="1:214" x14ac:dyDescent="0.2">
      <c r="A12" t="s">
        <v>443</v>
      </c>
      <c r="B12" s="410">
        <v>5.58</v>
      </c>
      <c r="C12" t="s">
        <v>449</v>
      </c>
      <c r="D12" t="s">
        <v>87</v>
      </c>
      <c r="E12">
        <f>B33</f>
        <v>10</v>
      </c>
      <c r="F12" t="s">
        <v>78</v>
      </c>
      <c r="G12" t="s">
        <v>457</v>
      </c>
      <c r="H12" s="1">
        <f>H5/(H8*(1/H45)*H21)</f>
        <v>1768399.8683172558</v>
      </c>
      <c r="I12" t="s">
        <v>21</v>
      </c>
      <c r="J12" t="s">
        <v>49</v>
      </c>
      <c r="K12" s="1">
        <f>0.693/K13</f>
        <v>66.155354824913829</v>
      </c>
      <c r="M12" t="s">
        <v>463</v>
      </c>
      <c r="N12">
        <v>1</v>
      </c>
      <c r="P12" t="s">
        <v>463</v>
      </c>
      <c r="Q12">
        <v>1</v>
      </c>
      <c r="S12" t="s">
        <v>463</v>
      </c>
      <c r="T12">
        <v>1</v>
      </c>
      <c r="W12">
        <v>24</v>
      </c>
      <c r="X12" t="s">
        <v>80</v>
      </c>
      <c r="Z12">
        <v>24</v>
      </c>
      <c r="AA12" t="s">
        <v>80</v>
      </c>
      <c r="AB12" t="s">
        <v>377</v>
      </c>
      <c r="AF12">
        <v>5</v>
      </c>
      <c r="AG12">
        <v>5</v>
      </c>
      <c r="AH12" t="s">
        <v>193</v>
      </c>
      <c r="AI12" t="s">
        <v>463</v>
      </c>
      <c r="AJ12">
        <v>1</v>
      </c>
      <c r="AL12" t="s">
        <v>463</v>
      </c>
      <c r="AM12">
        <v>1</v>
      </c>
      <c r="AO12" t="s">
        <v>463</v>
      </c>
      <c r="AP12">
        <v>1</v>
      </c>
      <c r="AR12" t="s">
        <v>463</v>
      </c>
      <c r="AS12">
        <v>1</v>
      </c>
      <c r="AU12" t="s">
        <v>463</v>
      </c>
      <c r="AV12">
        <v>1</v>
      </c>
      <c r="AX12" t="s">
        <v>463</v>
      </c>
      <c r="AY12">
        <v>1</v>
      </c>
      <c r="BA12" t="s">
        <v>463</v>
      </c>
      <c r="BB12">
        <v>1</v>
      </c>
      <c r="BD12" t="s">
        <v>463</v>
      </c>
      <c r="BE12">
        <v>1</v>
      </c>
      <c r="BG12" t="s">
        <v>463</v>
      </c>
      <c r="BH12">
        <v>1</v>
      </c>
      <c r="BJ12" t="s">
        <v>65</v>
      </c>
      <c r="BK12">
        <v>1</v>
      </c>
      <c r="BL12" t="s">
        <v>59</v>
      </c>
      <c r="BM12" t="s">
        <v>65</v>
      </c>
      <c r="BN12">
        <v>1</v>
      </c>
      <c r="BO12" t="s">
        <v>59</v>
      </c>
      <c r="BP12" t="s">
        <v>65</v>
      </c>
      <c r="BQ12">
        <v>1</v>
      </c>
      <c r="BR12" t="s">
        <v>59</v>
      </c>
      <c r="BS12" t="s">
        <v>87</v>
      </c>
      <c r="BT12">
        <f>B33</f>
        <v>10</v>
      </c>
      <c r="BU12" t="s">
        <v>78</v>
      </c>
      <c r="BV12" t="s">
        <v>457</v>
      </c>
      <c r="BW12" s="1">
        <f>BW5/(BW8*(1/BW32)*BW16)</f>
        <v>4612954.1864139019</v>
      </c>
      <c r="BX12" t="s">
        <v>21</v>
      </c>
      <c r="BY12" t="s">
        <v>411</v>
      </c>
      <c r="BZ12" s="1">
        <f>B17</f>
        <v>1.04753425E-2</v>
      </c>
      <c r="CA12" t="s">
        <v>119</v>
      </c>
      <c r="CB12" t="s">
        <v>105</v>
      </c>
      <c r="CC12">
        <v>0.75600000000000001</v>
      </c>
      <c r="CE12" t="s">
        <v>105</v>
      </c>
      <c r="CF12">
        <v>0.65</v>
      </c>
      <c r="CH12" t="s">
        <v>105</v>
      </c>
      <c r="CI12">
        <v>0.70099999999999996</v>
      </c>
      <c r="CN12" t="s">
        <v>306</v>
      </c>
      <c r="CO12" s="17">
        <v>1</v>
      </c>
      <c r="CP12" t="s">
        <v>75</v>
      </c>
      <c r="CT12" t="s">
        <v>49</v>
      </c>
      <c r="CU12" s="1">
        <f>0.693/CU13</f>
        <v>66.155354824913829</v>
      </c>
      <c r="CW12" t="s">
        <v>87</v>
      </c>
      <c r="CX12">
        <f>B33</f>
        <v>10</v>
      </c>
      <c r="CY12" t="s">
        <v>78</v>
      </c>
      <c r="CZ12" t="s">
        <v>411</v>
      </c>
      <c r="DA12" s="1">
        <f>B17</f>
        <v>1.04753425E-2</v>
      </c>
      <c r="DB12" t="s">
        <v>119</v>
      </c>
      <c r="DC12" t="s">
        <v>471</v>
      </c>
      <c r="DD12" s="1">
        <f>B40</f>
        <v>14.8</v>
      </c>
      <c r="DE12" t="s">
        <v>380</v>
      </c>
      <c r="DF12" t="s">
        <v>101</v>
      </c>
      <c r="DG12">
        <v>10950</v>
      </c>
      <c r="DH12" t="s">
        <v>102</v>
      </c>
      <c r="DO12" t="s">
        <v>101</v>
      </c>
      <c r="DP12">
        <v>10950</v>
      </c>
      <c r="DQ12" t="s">
        <v>102</v>
      </c>
      <c r="DR12" t="s">
        <v>73</v>
      </c>
      <c r="DS12">
        <v>350</v>
      </c>
      <c r="DT12" t="s">
        <v>52</v>
      </c>
      <c r="DX12" t="s">
        <v>103</v>
      </c>
      <c r="DY12">
        <v>1</v>
      </c>
      <c r="EA12" t="s">
        <v>103</v>
      </c>
      <c r="EB12">
        <v>1</v>
      </c>
      <c r="ED12" t="s">
        <v>103</v>
      </c>
      <c r="EE12">
        <v>1</v>
      </c>
      <c r="EG12" t="s">
        <v>73</v>
      </c>
      <c r="EH12">
        <v>350</v>
      </c>
      <c r="EI12" t="s">
        <v>52</v>
      </c>
      <c r="EM12" t="s">
        <v>104</v>
      </c>
      <c r="EN12">
        <v>1</v>
      </c>
      <c r="EP12" t="s">
        <v>104</v>
      </c>
      <c r="EQ12">
        <v>1</v>
      </c>
      <c r="ES12" t="s">
        <v>104</v>
      </c>
      <c r="ET12">
        <v>1</v>
      </c>
      <c r="EV12" t="s">
        <v>386</v>
      </c>
      <c r="EW12">
        <v>350</v>
      </c>
      <c r="EX12" t="s">
        <v>52</v>
      </c>
      <c r="FB12" t="s">
        <v>293</v>
      </c>
      <c r="FC12" s="17">
        <v>1</v>
      </c>
      <c r="FE12" t="s">
        <v>293</v>
      </c>
      <c r="FF12" s="17">
        <v>1</v>
      </c>
      <c r="FH12" t="s">
        <v>293</v>
      </c>
      <c r="FI12" s="17">
        <v>1</v>
      </c>
      <c r="FK12" t="s">
        <v>386</v>
      </c>
      <c r="FL12">
        <v>350</v>
      </c>
      <c r="FM12" t="s">
        <v>52</v>
      </c>
      <c r="FT12" t="s">
        <v>287</v>
      </c>
      <c r="FU12" s="17">
        <v>1</v>
      </c>
      <c r="FW12" t="s">
        <v>287</v>
      </c>
      <c r="FX12" s="17">
        <v>1</v>
      </c>
      <c r="FZ12" t="s">
        <v>386</v>
      </c>
      <c r="GA12">
        <v>350</v>
      </c>
      <c r="GB12" t="s">
        <v>52</v>
      </c>
      <c r="GF12" t="s">
        <v>277</v>
      </c>
      <c r="GG12">
        <v>1</v>
      </c>
      <c r="GI12" t="s">
        <v>277</v>
      </c>
      <c r="GJ12">
        <v>1</v>
      </c>
      <c r="GL12" t="s">
        <v>277</v>
      </c>
      <c r="GM12">
        <v>1</v>
      </c>
      <c r="GO12" t="s">
        <v>386</v>
      </c>
      <c r="GP12">
        <v>350</v>
      </c>
      <c r="GQ12" t="s">
        <v>52</v>
      </c>
      <c r="GU12" t="s">
        <v>282</v>
      </c>
      <c r="GV12">
        <v>1</v>
      </c>
      <c r="GX12" t="s">
        <v>282</v>
      </c>
      <c r="GY12">
        <v>1</v>
      </c>
      <c r="HA12" t="s">
        <v>282</v>
      </c>
      <c r="HB12">
        <v>1</v>
      </c>
      <c r="HE12" s="1"/>
    </row>
    <row r="13" spans="1:214" x14ac:dyDescent="0.2">
      <c r="A13" t="s">
        <v>444</v>
      </c>
      <c r="B13" s="410">
        <v>8.91</v>
      </c>
      <c r="C13" t="s">
        <v>449</v>
      </c>
      <c r="D13" t="s">
        <v>95</v>
      </c>
      <c r="E13">
        <f>B34</f>
        <v>20</v>
      </c>
      <c r="F13" t="s">
        <v>78</v>
      </c>
      <c r="G13" t="s">
        <v>454</v>
      </c>
      <c r="H13" s="1" t="e">
        <f>H14/((1/H42)*(H50+H51+H52))</f>
        <v>#DIV/0!</v>
      </c>
      <c r="I13" t="s">
        <v>21</v>
      </c>
      <c r="J13" t="s">
        <v>411</v>
      </c>
      <c r="K13" s="1">
        <f>B17</f>
        <v>1.04753425E-2</v>
      </c>
      <c r="L13" t="s">
        <v>119</v>
      </c>
      <c r="M13" t="s">
        <v>105</v>
      </c>
      <c r="N13">
        <v>1</v>
      </c>
      <c r="P13" t="s">
        <v>105</v>
      </c>
      <c r="Q13">
        <f>N13</f>
        <v>1</v>
      </c>
      <c r="S13" t="s">
        <v>105</v>
      </c>
      <c r="T13">
        <f>N13</f>
        <v>1</v>
      </c>
      <c r="V13" t="s">
        <v>96</v>
      </c>
      <c r="W13">
        <f>B35</f>
        <v>60</v>
      </c>
      <c r="X13" t="s">
        <v>78</v>
      </c>
      <c r="Y13" t="s">
        <v>96</v>
      </c>
      <c r="Z13">
        <f>B35</f>
        <v>60</v>
      </c>
      <c r="AA13" t="s">
        <v>78</v>
      </c>
      <c r="AB13" t="s">
        <v>378</v>
      </c>
      <c r="AF13">
        <v>50</v>
      </c>
      <c r="AG13">
        <v>50</v>
      </c>
      <c r="AH13" t="s">
        <v>379</v>
      </c>
      <c r="AI13" t="s">
        <v>105</v>
      </c>
      <c r="AJ13">
        <f>N13</f>
        <v>1</v>
      </c>
      <c r="AL13" t="s">
        <v>105</v>
      </c>
      <c r="AM13">
        <f>Q13</f>
        <v>1</v>
      </c>
      <c r="AO13" t="s">
        <v>105</v>
      </c>
      <c r="AP13">
        <f>T13</f>
        <v>1</v>
      </c>
      <c r="AR13" t="s">
        <v>105</v>
      </c>
      <c r="AS13">
        <f>AJ13</f>
        <v>1</v>
      </c>
      <c r="AU13" t="s">
        <v>105</v>
      </c>
      <c r="AV13">
        <f>AM13</f>
        <v>1</v>
      </c>
      <c r="AX13" t="s">
        <v>105</v>
      </c>
      <c r="AY13">
        <f>AP13</f>
        <v>1</v>
      </c>
      <c r="BA13" t="s">
        <v>105</v>
      </c>
      <c r="BB13">
        <v>1</v>
      </c>
      <c r="BD13" t="s">
        <v>105</v>
      </c>
      <c r="BE13">
        <f>AV13</f>
        <v>1</v>
      </c>
      <c r="BG13" t="s">
        <v>105</v>
      </c>
      <c r="BH13">
        <f>AY13</f>
        <v>1</v>
      </c>
      <c r="BJ13" t="s">
        <v>463</v>
      </c>
      <c r="BK13">
        <v>2.41E-4</v>
      </c>
      <c r="BM13" t="s">
        <v>463</v>
      </c>
      <c r="BN13">
        <v>1.17E-4</v>
      </c>
      <c r="BP13" t="s">
        <v>463</v>
      </c>
      <c r="BQ13">
        <v>2.2599999999999999E-4</v>
      </c>
      <c r="BS13" t="s">
        <v>95</v>
      </c>
      <c r="BT13">
        <f>B34</f>
        <v>20</v>
      </c>
      <c r="BU13" t="s">
        <v>78</v>
      </c>
      <c r="BV13" t="s">
        <v>81</v>
      </c>
      <c r="BW13" s="426">
        <f>((BW18*BW21*BW23*BW26*BW14*BW33)+(BW19*BW22*BW24*BW27*BW15*BW34))</f>
        <v>4.5</v>
      </c>
      <c r="BX13" t="s">
        <v>180</v>
      </c>
      <c r="BY13" t="s">
        <v>451</v>
      </c>
      <c r="BZ13" s="1" t="e">
        <f>(BZ5/(BZ6*BZ16*(1/BZ36)))*BZ10</f>
        <v>#DIV/0!</v>
      </c>
      <c r="CA13" t="s">
        <v>22</v>
      </c>
      <c r="CB13" t="s">
        <v>166</v>
      </c>
      <c r="CC13">
        <v>1</v>
      </c>
      <c r="CD13" t="s">
        <v>117</v>
      </c>
      <c r="CE13" t="s">
        <v>166</v>
      </c>
      <c r="CF13">
        <v>1</v>
      </c>
      <c r="CG13" t="s">
        <v>117</v>
      </c>
      <c r="CH13" t="s">
        <v>166</v>
      </c>
      <c r="CI13">
        <v>1</v>
      </c>
      <c r="CJ13" t="s">
        <v>117</v>
      </c>
      <c r="CN13" t="s">
        <v>307</v>
      </c>
      <c r="CO13" s="17">
        <v>1</v>
      </c>
      <c r="CP13" t="s">
        <v>75</v>
      </c>
      <c r="CT13" t="s">
        <v>411</v>
      </c>
      <c r="CU13" s="1">
        <f>B17</f>
        <v>1.04753425E-2</v>
      </c>
      <c r="CV13" t="s">
        <v>119</v>
      </c>
      <c r="CW13" t="s">
        <v>95</v>
      </c>
      <c r="CX13">
        <f>B34</f>
        <v>20</v>
      </c>
      <c r="CY13" t="s">
        <v>78</v>
      </c>
      <c r="CZ13" t="s">
        <v>451</v>
      </c>
      <c r="DA13" s="1" t="e">
        <f>DA5/(DA6*DA24)</f>
        <v>#DIV/0!</v>
      </c>
      <c r="DB13" t="s">
        <v>24</v>
      </c>
      <c r="DC13" t="s">
        <v>472</v>
      </c>
      <c r="DD13" s="1">
        <f>B41</f>
        <v>56.2</v>
      </c>
      <c r="DE13" t="s">
        <v>380</v>
      </c>
      <c r="DF13" t="s">
        <v>110</v>
      </c>
      <c r="DG13">
        <v>240</v>
      </c>
      <c r="DH13" t="s">
        <v>111</v>
      </c>
      <c r="DO13" t="s">
        <v>110</v>
      </c>
      <c r="DP13">
        <v>240</v>
      </c>
      <c r="DQ13" t="s">
        <v>111</v>
      </c>
      <c r="DR13" t="s">
        <v>227</v>
      </c>
      <c r="DS13">
        <v>1</v>
      </c>
      <c r="DT13" t="s">
        <v>119</v>
      </c>
      <c r="DX13" t="s">
        <v>112</v>
      </c>
      <c r="DY13">
        <v>1</v>
      </c>
      <c r="EA13" t="s">
        <v>112</v>
      </c>
      <c r="EB13">
        <v>1</v>
      </c>
      <c r="ED13" t="s">
        <v>112</v>
      </c>
      <c r="EE13">
        <v>1</v>
      </c>
      <c r="EG13" t="s">
        <v>227</v>
      </c>
      <c r="EH13">
        <v>1</v>
      </c>
      <c r="EI13" t="s">
        <v>119</v>
      </c>
      <c r="EM13" t="s">
        <v>113</v>
      </c>
      <c r="EN13">
        <v>1</v>
      </c>
      <c r="EP13" t="s">
        <v>113</v>
      </c>
      <c r="EQ13">
        <v>1</v>
      </c>
      <c r="ES13" t="s">
        <v>113</v>
      </c>
      <c r="ET13">
        <v>1</v>
      </c>
      <c r="EV13" t="s">
        <v>227</v>
      </c>
      <c r="EW13">
        <v>1</v>
      </c>
      <c r="EX13" t="s">
        <v>119</v>
      </c>
      <c r="FB13" t="s">
        <v>294</v>
      </c>
      <c r="FC13" s="17">
        <v>1</v>
      </c>
      <c r="FE13" t="s">
        <v>294</v>
      </c>
      <c r="FF13" s="17">
        <v>1</v>
      </c>
      <c r="FH13" t="s">
        <v>294</v>
      </c>
      <c r="FI13" s="17">
        <v>1</v>
      </c>
      <c r="FK13" t="s">
        <v>227</v>
      </c>
      <c r="FL13">
        <v>1</v>
      </c>
      <c r="FM13" t="s">
        <v>119</v>
      </c>
      <c r="FT13" t="s">
        <v>286</v>
      </c>
      <c r="FU13" s="17">
        <v>1</v>
      </c>
      <c r="FW13" t="s">
        <v>286</v>
      </c>
      <c r="FX13" s="17">
        <v>1</v>
      </c>
      <c r="FZ13" t="s">
        <v>227</v>
      </c>
      <c r="GA13">
        <v>1</v>
      </c>
      <c r="GB13" t="s">
        <v>119</v>
      </c>
      <c r="GF13" t="s">
        <v>278</v>
      </c>
      <c r="GG13">
        <v>1</v>
      </c>
      <c r="GI13" t="s">
        <v>278</v>
      </c>
      <c r="GJ13">
        <v>1</v>
      </c>
      <c r="GL13" t="s">
        <v>278</v>
      </c>
      <c r="GM13">
        <v>1</v>
      </c>
      <c r="GO13" t="s">
        <v>227</v>
      </c>
      <c r="GP13">
        <v>1</v>
      </c>
      <c r="GQ13" t="s">
        <v>119</v>
      </c>
      <c r="GU13" t="s">
        <v>283</v>
      </c>
      <c r="GV13">
        <v>1</v>
      </c>
      <c r="GX13" t="s">
        <v>283</v>
      </c>
      <c r="GY13">
        <v>1</v>
      </c>
      <c r="HA13" t="s">
        <v>283</v>
      </c>
      <c r="HB13">
        <v>1</v>
      </c>
      <c r="HD13" t="s">
        <v>391</v>
      </c>
      <c r="HE13" s="1">
        <v>10</v>
      </c>
    </row>
    <row r="14" spans="1:214" x14ac:dyDescent="0.2">
      <c r="A14" t="s">
        <v>445</v>
      </c>
      <c r="B14" s="410">
        <v>9.7300000000000008E-3</v>
      </c>
      <c r="C14" t="s">
        <v>449</v>
      </c>
      <c r="D14" t="s">
        <v>106</v>
      </c>
      <c r="E14">
        <v>24</v>
      </c>
      <c r="F14" t="s">
        <v>80</v>
      </c>
      <c r="G14" t="s">
        <v>455</v>
      </c>
      <c r="H14" s="1" t="e">
        <f>H5/(H9*(H22+H25)*H43)</f>
        <v>#DIV/0!</v>
      </c>
      <c r="I14" t="s">
        <v>22</v>
      </c>
      <c r="J14" t="s">
        <v>451</v>
      </c>
      <c r="K14" s="453" t="e">
        <f>(K5/(K6*K19*(1/K48)))*K11</f>
        <v>#DIV/0!</v>
      </c>
      <c r="L14" t="s">
        <v>22</v>
      </c>
      <c r="M14" t="s">
        <v>114</v>
      </c>
      <c r="N14">
        <v>7.2999999999999995E-2</v>
      </c>
      <c r="O14" t="s">
        <v>115</v>
      </c>
      <c r="P14" t="s">
        <v>114</v>
      </c>
      <c r="Q14">
        <v>7.2999999999999995E-2</v>
      </c>
      <c r="R14" t="s">
        <v>115</v>
      </c>
      <c r="S14" t="s">
        <v>114</v>
      </c>
      <c r="T14">
        <v>7.2999999999999995E-2</v>
      </c>
      <c r="U14" t="s">
        <v>115</v>
      </c>
      <c r="V14" t="s">
        <v>445</v>
      </c>
      <c r="W14" s="1">
        <f>B14</f>
        <v>9.7300000000000008E-3</v>
      </c>
      <c r="X14" t="s">
        <v>107</v>
      </c>
      <c r="Y14" t="s">
        <v>445</v>
      </c>
      <c r="Z14" s="1">
        <f>B14</f>
        <v>9.7300000000000008E-3</v>
      </c>
      <c r="AA14" t="s">
        <v>107</v>
      </c>
      <c r="AB14" t="s">
        <v>116</v>
      </c>
      <c r="AF14">
        <v>8</v>
      </c>
      <c r="AG14">
        <v>8</v>
      </c>
      <c r="AH14" t="s">
        <v>80</v>
      </c>
      <c r="AI14" t="s">
        <v>114</v>
      </c>
      <c r="AJ14">
        <v>0</v>
      </c>
      <c r="AK14" t="s">
        <v>115</v>
      </c>
      <c r="AL14" t="s">
        <v>114</v>
      </c>
      <c r="AM14">
        <v>0</v>
      </c>
      <c r="AN14" t="s">
        <v>115</v>
      </c>
      <c r="AO14" t="s">
        <v>114</v>
      </c>
      <c r="AP14">
        <v>0</v>
      </c>
      <c r="AQ14" t="s">
        <v>115</v>
      </c>
      <c r="AR14" t="s">
        <v>114</v>
      </c>
      <c r="AS14">
        <f>8/24</f>
        <v>0.33333333333333331</v>
      </c>
      <c r="AT14" t="s">
        <v>115</v>
      </c>
      <c r="AU14" t="s">
        <v>114</v>
      </c>
      <c r="AV14">
        <f>8/24</f>
        <v>0.33333333333333331</v>
      </c>
      <c r="AW14" t="s">
        <v>115</v>
      </c>
      <c r="AX14" t="s">
        <v>116</v>
      </c>
      <c r="AY14">
        <f>8/24</f>
        <v>0.33333333333333331</v>
      </c>
      <c r="AZ14" t="s">
        <v>117</v>
      </c>
      <c r="BA14" t="s">
        <v>114</v>
      </c>
      <c r="BB14">
        <f>8/24</f>
        <v>0.33333333333333331</v>
      </c>
      <c r="BC14" t="s">
        <v>115</v>
      </c>
      <c r="BD14" t="s">
        <v>114</v>
      </c>
      <c r="BE14">
        <f>8/24</f>
        <v>0.33333333333333331</v>
      </c>
      <c r="BF14" t="s">
        <v>115</v>
      </c>
      <c r="BG14" t="s">
        <v>116</v>
      </c>
      <c r="BH14">
        <f>8/24</f>
        <v>0.33333333333333331</v>
      </c>
      <c r="BI14" t="s">
        <v>117</v>
      </c>
      <c r="BJ14" t="s">
        <v>105</v>
      </c>
      <c r="BK14">
        <v>0.753</v>
      </c>
      <c r="BM14" t="s">
        <v>105</v>
      </c>
      <c r="BN14">
        <v>0.74299999999999999</v>
      </c>
      <c r="BP14" t="s">
        <v>105</v>
      </c>
      <c r="BQ14">
        <v>0.66200000000000003</v>
      </c>
      <c r="BS14" t="s">
        <v>399</v>
      </c>
      <c r="BT14">
        <v>1</v>
      </c>
      <c r="BU14" t="s">
        <v>80</v>
      </c>
      <c r="BV14" t="s">
        <v>97</v>
      </c>
      <c r="BW14">
        <v>0.05</v>
      </c>
      <c r="BX14" t="s">
        <v>89</v>
      </c>
      <c r="BY14" t="s">
        <v>452</v>
      </c>
      <c r="BZ14" s="1" t="e">
        <f>(BZ5/(BZ7*BZ17*(1/BZ9)*BZ35))*BZ10</f>
        <v>#DIV/0!</v>
      </c>
      <c r="CA14" t="s">
        <v>22</v>
      </c>
      <c r="CB14" t="s">
        <v>460</v>
      </c>
      <c r="CC14" s="1">
        <f>B9</f>
        <v>10.6</v>
      </c>
      <c r="CD14" t="s">
        <v>121</v>
      </c>
      <c r="CE14" t="s">
        <v>460</v>
      </c>
      <c r="CF14" s="1">
        <f>B11</f>
        <v>1.94</v>
      </c>
      <c r="CG14" t="s">
        <v>121</v>
      </c>
      <c r="CH14" t="s">
        <v>460</v>
      </c>
      <c r="CI14" s="1">
        <f>B13</f>
        <v>8.91</v>
      </c>
      <c r="CJ14" t="s">
        <v>121</v>
      </c>
      <c r="CT14" t="s">
        <v>451</v>
      </c>
      <c r="CU14" s="1" t="e">
        <f>(CU5/(CU6*CU25*(1/CU48)))*CU11</f>
        <v>#DIV/0!</v>
      </c>
      <c r="CV14" t="s">
        <v>22</v>
      </c>
      <c r="CW14" t="s">
        <v>165</v>
      </c>
      <c r="CX14">
        <v>24</v>
      </c>
      <c r="CY14" t="s">
        <v>80</v>
      </c>
      <c r="CZ14" t="s">
        <v>452</v>
      </c>
      <c r="DA14" s="1" t="e">
        <f>DA5/(DA7*DA25*DA47)</f>
        <v>#DIV/0!</v>
      </c>
      <c r="DB14" t="s">
        <v>24</v>
      </c>
      <c r="DC14" t="s">
        <v>247</v>
      </c>
      <c r="DD14">
        <v>350</v>
      </c>
      <c r="DE14" t="s">
        <v>52</v>
      </c>
      <c r="DF14" t="s">
        <v>120</v>
      </c>
      <c r="DG14">
        <v>0.26</v>
      </c>
      <c r="DO14" t="s">
        <v>120</v>
      </c>
      <c r="DP14">
        <v>0.26</v>
      </c>
      <c r="DR14" t="s">
        <v>228</v>
      </c>
      <c r="DS14">
        <v>1</v>
      </c>
      <c r="DT14" t="s">
        <v>119</v>
      </c>
      <c r="ED14" t="s">
        <v>120</v>
      </c>
      <c r="EE14">
        <v>0.25</v>
      </c>
      <c r="EG14" t="s">
        <v>228</v>
      </c>
      <c r="EH14">
        <v>1</v>
      </c>
      <c r="EI14" t="s">
        <v>119</v>
      </c>
      <c r="ES14" t="s">
        <v>120</v>
      </c>
      <c r="ET14">
        <v>0.25</v>
      </c>
      <c r="EV14" t="s">
        <v>228</v>
      </c>
      <c r="EW14">
        <v>1</v>
      </c>
      <c r="EX14" t="s">
        <v>119</v>
      </c>
      <c r="FH14" t="s">
        <v>120</v>
      </c>
      <c r="FI14">
        <v>0.25</v>
      </c>
      <c r="FK14" t="s">
        <v>228</v>
      </c>
      <c r="FL14">
        <v>1</v>
      </c>
      <c r="FM14" t="s">
        <v>119</v>
      </c>
      <c r="FT14" t="s">
        <v>186</v>
      </c>
      <c r="FU14" s="1">
        <f>B22</f>
        <v>0</v>
      </c>
      <c r="FW14" t="s">
        <v>120</v>
      </c>
      <c r="FX14">
        <v>0.25</v>
      </c>
      <c r="FZ14" t="s">
        <v>228</v>
      </c>
      <c r="GA14">
        <v>1</v>
      </c>
      <c r="GB14" t="s">
        <v>119</v>
      </c>
      <c r="GL14" t="s">
        <v>279</v>
      </c>
      <c r="GM14">
        <v>0.25</v>
      </c>
      <c r="GO14" t="s">
        <v>228</v>
      </c>
      <c r="GP14">
        <v>1</v>
      </c>
      <c r="GQ14" t="s">
        <v>119</v>
      </c>
      <c r="HA14" t="s">
        <v>120</v>
      </c>
      <c r="HB14">
        <v>0.25</v>
      </c>
      <c r="HD14" t="s">
        <v>118</v>
      </c>
      <c r="HE14">
        <v>8.1999999999999993</v>
      </c>
    </row>
    <row r="15" spans="1:214" ht="13.5" thickBot="1" x14ac:dyDescent="0.25">
      <c r="A15" t="s">
        <v>446</v>
      </c>
      <c r="B15" s="410">
        <v>2.1100000000000001E-5</v>
      </c>
      <c r="C15" t="s">
        <v>448</v>
      </c>
      <c r="E15">
        <v>24</v>
      </c>
      <c r="F15" t="s">
        <v>80</v>
      </c>
      <c r="G15" t="s">
        <v>81</v>
      </c>
      <c r="H15" s="3">
        <f>(H32*H29*H17*H70)+(H33*H30*H18*H71)</f>
        <v>736.07692307692309</v>
      </c>
      <c r="I15" t="s">
        <v>180</v>
      </c>
      <c r="J15" t="s">
        <v>452</v>
      </c>
      <c r="K15" s="1" t="e">
        <f>(K5/(K7*K20*(1/K10)*K47))*K11</f>
        <v>#DIV/0!</v>
      </c>
      <c r="L15" t="s">
        <v>22</v>
      </c>
      <c r="M15" t="s">
        <v>460</v>
      </c>
      <c r="N15" s="1">
        <f>B10</f>
        <v>1.96</v>
      </c>
      <c r="O15" t="s">
        <v>121</v>
      </c>
      <c r="P15" t="s">
        <v>460</v>
      </c>
      <c r="Q15" s="1">
        <f>B12</f>
        <v>5.58</v>
      </c>
      <c r="R15" t="s">
        <v>121</v>
      </c>
      <c r="S15" t="s">
        <v>460</v>
      </c>
      <c r="T15" s="1">
        <f>B14</f>
        <v>9.7300000000000008E-3</v>
      </c>
      <c r="U15" t="s">
        <v>121</v>
      </c>
      <c r="V15" t="s">
        <v>464</v>
      </c>
      <c r="W15">
        <v>1</v>
      </c>
      <c r="Y15" t="s">
        <v>464</v>
      </c>
      <c r="Z15">
        <v>1</v>
      </c>
      <c r="AB15" t="s">
        <v>124</v>
      </c>
      <c r="AC15">
        <v>1</v>
      </c>
      <c r="AD15">
        <v>1</v>
      </c>
      <c r="AE15">
        <v>1</v>
      </c>
      <c r="AF15">
        <v>1</v>
      </c>
      <c r="AG15">
        <v>1</v>
      </c>
      <c r="AI15" t="s">
        <v>460</v>
      </c>
      <c r="AJ15" s="1">
        <f>B9</f>
        <v>10.6</v>
      </c>
      <c r="AK15" t="s">
        <v>121</v>
      </c>
      <c r="AL15" t="s">
        <v>460</v>
      </c>
      <c r="AM15" s="1">
        <f>B11</f>
        <v>1.94</v>
      </c>
      <c r="AN15" t="s">
        <v>121</v>
      </c>
      <c r="AO15" t="s">
        <v>460</v>
      </c>
      <c r="AP15" s="1">
        <f>B13</f>
        <v>8.91</v>
      </c>
      <c r="AQ15" t="s">
        <v>121</v>
      </c>
      <c r="AR15" t="s">
        <v>460</v>
      </c>
      <c r="AS15" s="1">
        <f>B9</f>
        <v>10.6</v>
      </c>
      <c r="AT15" t="s">
        <v>121</v>
      </c>
      <c r="AU15" t="s">
        <v>460</v>
      </c>
      <c r="AV15" s="1">
        <f>B11</f>
        <v>1.94</v>
      </c>
      <c r="AW15" t="s">
        <v>121</v>
      </c>
      <c r="AX15" t="s">
        <v>460</v>
      </c>
      <c r="AY15" s="1">
        <f>B13</f>
        <v>8.91</v>
      </c>
      <c r="AZ15" t="s">
        <v>121</v>
      </c>
      <c r="BA15" t="s">
        <v>460</v>
      </c>
      <c r="BB15" s="1">
        <f>B9</f>
        <v>10.6</v>
      </c>
      <c r="BC15" t="s">
        <v>121</v>
      </c>
      <c r="BD15" t="s">
        <v>460</v>
      </c>
      <c r="BE15" s="1">
        <f>B11</f>
        <v>1.94</v>
      </c>
      <c r="BF15" t="s">
        <v>121</v>
      </c>
      <c r="BG15" t="s">
        <v>460</v>
      </c>
      <c r="BH15" s="1">
        <f>B13</f>
        <v>8.91</v>
      </c>
      <c r="BI15" t="s">
        <v>121</v>
      </c>
      <c r="BJ15" t="s">
        <v>114</v>
      </c>
      <c r="BK15">
        <f>8/24</f>
        <v>0.33333333333333331</v>
      </c>
      <c r="BL15" t="s">
        <v>115</v>
      </c>
      <c r="BM15" t="s">
        <v>114</v>
      </c>
      <c r="BN15">
        <f>8/24</f>
        <v>0.33333333333333331</v>
      </c>
      <c r="BO15" t="s">
        <v>115</v>
      </c>
      <c r="BP15" t="s">
        <v>116</v>
      </c>
      <c r="BQ15">
        <f>8/24</f>
        <v>0.33333333333333331</v>
      </c>
      <c r="BR15" t="s">
        <v>117</v>
      </c>
      <c r="BS15" t="s">
        <v>398</v>
      </c>
      <c r="BT15">
        <v>1</v>
      </c>
      <c r="BU15" t="s">
        <v>80</v>
      </c>
      <c r="BV15" t="s">
        <v>123</v>
      </c>
      <c r="BW15">
        <v>0.05</v>
      </c>
      <c r="BX15" t="s">
        <v>89</v>
      </c>
      <c r="BY15" t="s">
        <v>453</v>
      </c>
      <c r="BZ15" s="1">
        <f>((BZ5)/(BZ8*BZ22*(1/BZ34)*BZ25*BZ28*(1/24)*BZ31*BZ32))*BZ10</f>
        <v>104439145.49391273</v>
      </c>
      <c r="CA15" t="s">
        <v>22</v>
      </c>
      <c r="CT15" t="s">
        <v>452</v>
      </c>
      <c r="CU15" s="1" t="e">
        <f>(CU5/(CU7*CU26*(1/CU10)*CU47))*CU11</f>
        <v>#DIV/0!</v>
      </c>
      <c r="CV15" t="s">
        <v>22</v>
      </c>
      <c r="CW15" t="s">
        <v>163</v>
      </c>
      <c r="CX15">
        <v>24</v>
      </c>
      <c r="CY15" t="s">
        <v>80</v>
      </c>
      <c r="CZ15" t="s">
        <v>457</v>
      </c>
      <c r="DA15" s="1">
        <f>DA5/(DA8*DA26*(DA48/DA49))</f>
        <v>1732926.5439935352</v>
      </c>
      <c r="DB15" t="s">
        <v>24</v>
      </c>
      <c r="DC15" t="s">
        <v>246</v>
      </c>
      <c r="DD15">
        <v>350</v>
      </c>
      <c r="DE15" t="s">
        <v>52</v>
      </c>
      <c r="DF15" t="s">
        <v>125</v>
      </c>
      <c r="DG15">
        <v>0.42</v>
      </c>
      <c r="DH15" t="s">
        <v>75</v>
      </c>
      <c r="DO15" t="s">
        <v>125</v>
      </c>
      <c r="DP15">
        <v>0.42</v>
      </c>
      <c r="DQ15" t="s">
        <v>75</v>
      </c>
      <c r="DR15" t="s">
        <v>229</v>
      </c>
      <c r="DS15">
        <v>1</v>
      </c>
      <c r="DT15" t="s">
        <v>119</v>
      </c>
      <c r="ED15" t="s">
        <v>55</v>
      </c>
      <c r="EE15">
        <v>92</v>
      </c>
      <c r="EF15" t="s">
        <v>56</v>
      </c>
      <c r="EG15" t="s">
        <v>229</v>
      </c>
      <c r="EH15">
        <v>1</v>
      </c>
      <c r="EI15" t="s">
        <v>119</v>
      </c>
      <c r="ES15" t="s">
        <v>57</v>
      </c>
      <c r="ET15">
        <v>53</v>
      </c>
      <c r="EU15" t="s">
        <v>56</v>
      </c>
      <c r="EV15" t="s">
        <v>229</v>
      </c>
      <c r="EW15">
        <v>1</v>
      </c>
      <c r="EX15" t="s">
        <v>119</v>
      </c>
      <c r="FH15" t="s">
        <v>271</v>
      </c>
      <c r="FI15">
        <v>0.4</v>
      </c>
      <c r="FJ15" t="s">
        <v>56</v>
      </c>
      <c r="FK15" t="s">
        <v>229</v>
      </c>
      <c r="FL15">
        <v>1</v>
      </c>
      <c r="FM15" t="s">
        <v>119</v>
      </c>
      <c r="FT15" t="s">
        <v>296</v>
      </c>
      <c r="FU15" s="1">
        <v>8.1999999999999993</v>
      </c>
      <c r="FW15" t="s">
        <v>274</v>
      </c>
      <c r="FX15" s="17">
        <v>1</v>
      </c>
      <c r="FY15" t="s">
        <v>56</v>
      </c>
      <c r="FZ15" t="s">
        <v>229</v>
      </c>
      <c r="GA15">
        <v>1</v>
      </c>
      <c r="GB15" t="s">
        <v>119</v>
      </c>
      <c r="GL15" t="s">
        <v>272</v>
      </c>
      <c r="GM15">
        <v>0.4</v>
      </c>
      <c r="GN15" t="s">
        <v>56</v>
      </c>
      <c r="GO15" t="s">
        <v>229</v>
      </c>
      <c r="GP15">
        <v>1</v>
      </c>
      <c r="GQ15" t="s">
        <v>119</v>
      </c>
      <c r="HA15" t="s">
        <v>273</v>
      </c>
      <c r="HB15">
        <v>11.4</v>
      </c>
      <c r="HC15" t="s">
        <v>56</v>
      </c>
    </row>
    <row r="16" spans="1:214" ht="13.5" thickTop="1" x14ac:dyDescent="0.2">
      <c r="A16" t="s">
        <v>447</v>
      </c>
      <c r="B16" s="410">
        <v>0</v>
      </c>
      <c r="C16" t="s">
        <v>448</v>
      </c>
      <c r="D16" t="s">
        <v>122</v>
      </c>
      <c r="E16">
        <v>1</v>
      </c>
      <c r="F16" t="s">
        <v>59</v>
      </c>
      <c r="G16" t="s">
        <v>77</v>
      </c>
      <c r="H16" s="426">
        <f>(H29*H19*H32*H70)+(H30*H20*H33*H71)</f>
        <v>6192.3076923076924</v>
      </c>
      <c r="I16" t="s">
        <v>407</v>
      </c>
      <c r="J16" t="s">
        <v>453</v>
      </c>
      <c r="K16" s="1">
        <f>(K5/(K8*K44*((K39*K43*(1/K37))+(K40*K42*(1/K37)))*K32*(1/K46)*K33))*K11</f>
        <v>488.23481808529851</v>
      </c>
      <c r="L16" t="s">
        <v>22</v>
      </c>
      <c r="M16" t="s">
        <v>136</v>
      </c>
      <c r="N16">
        <v>0.68300000000000005</v>
      </c>
      <c r="O16" t="s">
        <v>115</v>
      </c>
      <c r="P16" t="s">
        <v>136</v>
      </c>
      <c r="Q16">
        <v>0.68300000000000005</v>
      </c>
      <c r="R16" t="s">
        <v>115</v>
      </c>
      <c r="S16" t="s">
        <v>136</v>
      </c>
      <c r="T16">
        <v>0.68300000000000005</v>
      </c>
      <c r="U16" t="s">
        <v>115</v>
      </c>
      <c r="V16" t="s">
        <v>452</v>
      </c>
      <c r="W16" s="1" t="e">
        <f>(W5)/((W11/W12)*W8*W9*W10*W13)</f>
        <v>#DIV/0!</v>
      </c>
      <c r="X16" t="s">
        <v>36</v>
      </c>
      <c r="Y16" t="s">
        <v>452</v>
      </c>
      <c r="Z16" s="1" t="e">
        <f>(Z5)/((Z11/Z12)*Z8*Z9*Z10*Z13)</f>
        <v>#DIV/0!</v>
      </c>
      <c r="AA16" t="s">
        <v>36</v>
      </c>
      <c r="AB16" t="s">
        <v>128</v>
      </c>
      <c r="AC16">
        <v>100</v>
      </c>
      <c r="AD16">
        <v>50</v>
      </c>
      <c r="AE16">
        <v>100</v>
      </c>
      <c r="AF16">
        <v>330</v>
      </c>
      <c r="AG16">
        <v>330</v>
      </c>
      <c r="AI16" t="s">
        <v>136</v>
      </c>
      <c r="AJ16">
        <f>8/24</f>
        <v>0.33333333333333331</v>
      </c>
      <c r="AK16" t="s">
        <v>115</v>
      </c>
      <c r="AL16" t="s">
        <v>136</v>
      </c>
      <c r="AM16">
        <f>8/24</f>
        <v>0.33333333333333331</v>
      </c>
      <c r="AN16" t="s">
        <v>115</v>
      </c>
      <c r="AO16" t="s">
        <v>136</v>
      </c>
      <c r="AP16">
        <f>8/24</f>
        <v>0.33333333333333331</v>
      </c>
      <c r="AQ16" t="s">
        <v>115</v>
      </c>
      <c r="AR16" t="s">
        <v>136</v>
      </c>
      <c r="AS16">
        <v>0</v>
      </c>
      <c r="AT16" t="s">
        <v>115</v>
      </c>
      <c r="AU16" t="s">
        <v>136</v>
      </c>
      <c r="AV16">
        <v>0</v>
      </c>
      <c r="AW16" t="s">
        <v>115</v>
      </c>
      <c r="AX16" t="s">
        <v>136</v>
      </c>
      <c r="AY16">
        <v>0</v>
      </c>
      <c r="AZ16" t="s">
        <v>115</v>
      </c>
      <c r="BA16" t="s">
        <v>136</v>
      </c>
      <c r="BB16">
        <v>0</v>
      </c>
      <c r="BC16" t="s">
        <v>115</v>
      </c>
      <c r="BD16" t="s">
        <v>136</v>
      </c>
      <c r="BE16">
        <v>0</v>
      </c>
      <c r="BF16" t="s">
        <v>115</v>
      </c>
      <c r="BG16" t="s">
        <v>136</v>
      </c>
      <c r="BH16">
        <v>0</v>
      </c>
      <c r="BI16" t="s">
        <v>115</v>
      </c>
      <c r="BJ16" t="s">
        <v>460</v>
      </c>
      <c r="BK16" s="1">
        <f>B9</f>
        <v>10.6</v>
      </c>
      <c r="BL16" t="s">
        <v>121</v>
      </c>
      <c r="BM16" t="s">
        <v>460</v>
      </c>
      <c r="BN16" s="1">
        <f>B11</f>
        <v>1.94</v>
      </c>
      <c r="BO16" t="s">
        <v>121</v>
      </c>
      <c r="BP16" t="s">
        <v>460</v>
      </c>
      <c r="BQ16" s="1">
        <f>B13</f>
        <v>8.91</v>
      </c>
      <c r="BR16" t="s">
        <v>121</v>
      </c>
      <c r="BS16" t="s">
        <v>166</v>
      </c>
      <c r="BT16">
        <v>1</v>
      </c>
      <c r="BU16" t="s">
        <v>80</v>
      </c>
      <c r="BV16" t="s">
        <v>240</v>
      </c>
      <c r="BW16" s="427">
        <f>((BW18*BW21*BW23*BW26*BW33)+(BW19*BW22*BW24*BW27*BW34))</f>
        <v>90</v>
      </c>
      <c r="BX16" t="s">
        <v>408</v>
      </c>
      <c r="BY16" t="s">
        <v>82</v>
      </c>
      <c r="BZ16" s="427">
        <f>(BZ18*BZ22*BZ27*BZ37)+(BZ19*BZ23*BZ26*BZ38)</f>
        <v>22500</v>
      </c>
      <c r="CA16" t="s">
        <v>406</v>
      </c>
      <c r="CB16" s="403" t="s">
        <v>8</v>
      </c>
      <c r="CC16" s="76" t="s">
        <v>394</v>
      </c>
      <c r="CD16" s="77" t="s">
        <v>423</v>
      </c>
      <c r="CE16" s="230" t="s">
        <v>8</v>
      </c>
      <c r="CF16" s="76" t="s">
        <v>183</v>
      </c>
      <c r="CG16" s="77" t="s">
        <v>423</v>
      </c>
      <c r="CK16" s="394" t="s">
        <v>8</v>
      </c>
      <c r="CL16" s="395" t="s">
        <v>302</v>
      </c>
      <c r="CM16" s="396" t="s">
        <v>423</v>
      </c>
      <c r="CN16" s="76" t="s">
        <v>8</v>
      </c>
      <c r="CO16" s="76" t="s">
        <v>302</v>
      </c>
      <c r="CP16" s="77" t="s">
        <v>423</v>
      </c>
      <c r="CQ16" s="230" t="s">
        <v>8</v>
      </c>
      <c r="CR16" s="76" t="s">
        <v>302</v>
      </c>
      <c r="CS16" s="77" t="s">
        <v>423</v>
      </c>
      <c r="CT16" t="s">
        <v>453</v>
      </c>
      <c r="CU16" s="1">
        <f>(CU5/(CU8*CU44*((CU39*CU43*(1/CU37))+(CU40*CU42*(1/CU37)))*CU32*(1/CU46)*CU33))*CU11</f>
        <v>386.37849155961493</v>
      </c>
      <c r="CV16" t="s">
        <v>22</v>
      </c>
      <c r="CW16" t="s">
        <v>122</v>
      </c>
      <c r="CX16">
        <v>1</v>
      </c>
      <c r="CY16" t="s">
        <v>59</v>
      </c>
      <c r="CZ16" t="s">
        <v>476</v>
      </c>
      <c r="DA16" s="1" t="e">
        <f>DG3</f>
        <v>#DIV/0!</v>
      </c>
      <c r="DB16" t="s">
        <v>24</v>
      </c>
      <c r="DC16" t="s">
        <v>227</v>
      </c>
      <c r="DD16">
        <v>1</v>
      </c>
      <c r="DE16" t="s">
        <v>119</v>
      </c>
      <c r="DF16" t="s">
        <v>129</v>
      </c>
      <c r="DG16">
        <f>DG20+(0.693/DG22)</f>
        <v>0.23091361256544501</v>
      </c>
      <c r="DH16" t="s">
        <v>130</v>
      </c>
      <c r="DO16" t="s">
        <v>129</v>
      </c>
      <c r="DP16">
        <f>DP20+(0.693/DP22)</f>
        <v>4.9499999999999995E-2</v>
      </c>
      <c r="DQ16" t="s">
        <v>130</v>
      </c>
      <c r="DS16">
        <v>1000</v>
      </c>
      <c r="DT16" t="s">
        <v>179</v>
      </c>
      <c r="ED16" t="s">
        <v>129</v>
      </c>
      <c r="EE16">
        <f>EE20+(0.693/EE22)</f>
        <v>4.9499999999999995E-2</v>
      </c>
      <c r="EF16" t="s">
        <v>130</v>
      </c>
      <c r="EH16">
        <v>1000</v>
      </c>
      <c r="EI16" t="s">
        <v>179</v>
      </c>
      <c r="ES16" t="s">
        <v>129</v>
      </c>
      <c r="ET16">
        <f>ET20+(0.693/ET22)</f>
        <v>4.9499999999999995E-2</v>
      </c>
      <c r="EU16" t="s">
        <v>130</v>
      </c>
      <c r="EW16" s="15">
        <v>1000</v>
      </c>
      <c r="EX16" t="s">
        <v>179</v>
      </c>
      <c r="FH16" t="s">
        <v>129</v>
      </c>
      <c r="FI16">
        <v>4.9499999999999995E-2</v>
      </c>
      <c r="FJ16" t="s">
        <v>130</v>
      </c>
      <c r="FL16">
        <v>1000</v>
      </c>
      <c r="FM16" t="s">
        <v>179</v>
      </c>
      <c r="FW16" t="s">
        <v>129</v>
      </c>
      <c r="FX16">
        <f>FX20+(0.693/FX22)</f>
        <v>4.9499999999999995E-2</v>
      </c>
      <c r="FY16" t="s">
        <v>130</v>
      </c>
      <c r="GA16">
        <v>1000</v>
      </c>
      <c r="GB16" t="s">
        <v>179</v>
      </c>
      <c r="GL16" t="s">
        <v>129</v>
      </c>
      <c r="GM16">
        <f>GM20+(0.693/GM22)</f>
        <v>4.9499999999999995E-2</v>
      </c>
      <c r="GN16" t="s">
        <v>130</v>
      </c>
      <c r="GO16" t="s">
        <v>270</v>
      </c>
      <c r="GP16">
        <v>1</v>
      </c>
      <c r="HA16" t="s">
        <v>129</v>
      </c>
      <c r="HB16">
        <f>HB20+(0.693/HB22)</f>
        <v>4.9499999999999995E-2</v>
      </c>
      <c r="HC16" t="s">
        <v>130</v>
      </c>
    </row>
    <row r="17" spans="1:214" ht="13.5" thickBot="1" x14ac:dyDescent="0.25">
      <c r="A17" t="s">
        <v>411</v>
      </c>
      <c r="B17" s="410">
        <v>1.04753425E-2</v>
      </c>
      <c r="C17" t="s">
        <v>417</v>
      </c>
      <c r="D17" t="s">
        <v>126</v>
      </c>
      <c r="E17">
        <v>1</v>
      </c>
      <c r="F17" t="s">
        <v>59</v>
      </c>
      <c r="G17" t="s">
        <v>97</v>
      </c>
      <c r="H17">
        <f>B38</f>
        <v>0.78</v>
      </c>
      <c r="J17" t="s">
        <v>454</v>
      </c>
      <c r="K17" s="1" t="e">
        <f>K18/(K49+K50)</f>
        <v>#DIV/0!</v>
      </c>
      <c r="L17" t="s">
        <v>22</v>
      </c>
      <c r="V17" t="s">
        <v>477</v>
      </c>
      <c r="W17" s="1">
        <f>(W5)/((W11/W12)*W8*W9*W14*(1/365))</f>
        <v>500.17129153819803</v>
      </c>
      <c r="X17" t="s">
        <v>36</v>
      </c>
      <c r="Y17" t="s">
        <v>477</v>
      </c>
      <c r="Z17" s="1">
        <f>(Z5)/((Z11/Z12)*Z8*Z9*Z14*(1/365))</f>
        <v>450.1541623843782</v>
      </c>
      <c r="AA17" t="s">
        <v>36</v>
      </c>
      <c r="BS17" t="s">
        <v>122</v>
      </c>
      <c r="BT17">
        <v>1</v>
      </c>
      <c r="BU17" t="s">
        <v>59</v>
      </c>
      <c r="BV17" t="s">
        <v>131</v>
      </c>
      <c r="BW17">
        <v>0.5</v>
      </c>
      <c r="BX17" t="s">
        <v>132</v>
      </c>
      <c r="BY17" t="s">
        <v>77</v>
      </c>
      <c r="BZ17" s="427">
        <f>(BZ27*BZ24*BZ20*(BZ29/24)*BZ37)+(BZ26*BZ23*BZ21*(BZ30/24)*BZ38)</f>
        <v>93.75</v>
      </c>
      <c r="CA17" t="s">
        <v>407</v>
      </c>
      <c r="CB17" s="404" t="s">
        <v>32</v>
      </c>
      <c r="CC17" s="78" t="s">
        <v>13</v>
      </c>
      <c r="CD17" s="79" t="s">
        <v>22</v>
      </c>
      <c r="CE17" s="231" t="s">
        <v>32</v>
      </c>
      <c r="CF17" s="78" t="s">
        <v>13</v>
      </c>
      <c r="CG17" s="79" t="s">
        <v>22</v>
      </c>
      <c r="CK17" s="397" t="s">
        <v>303</v>
      </c>
      <c r="CL17" s="78"/>
      <c r="CM17" s="398" t="s">
        <v>22</v>
      </c>
      <c r="CN17" s="78" t="s">
        <v>11</v>
      </c>
      <c r="CO17" s="78"/>
      <c r="CP17" s="79" t="s">
        <v>22</v>
      </c>
      <c r="CQ17" s="231" t="s">
        <v>10</v>
      </c>
      <c r="CR17" s="78"/>
      <c r="CS17" s="79" t="s">
        <v>22</v>
      </c>
      <c r="CT17" t="s">
        <v>454</v>
      </c>
      <c r="CU17" s="1" t="e">
        <f>DJ3</f>
        <v>#DIV/0!</v>
      </c>
      <c r="CV17" t="s">
        <v>22</v>
      </c>
      <c r="CW17" t="s">
        <v>126</v>
      </c>
      <c r="CX17">
        <v>1</v>
      </c>
      <c r="CY17" t="s">
        <v>59</v>
      </c>
      <c r="CZ17" t="s">
        <v>478</v>
      </c>
      <c r="DA17" s="1" t="e">
        <f>DD3</f>
        <v>#DIV/0!</v>
      </c>
      <c r="DB17" t="s">
        <v>22</v>
      </c>
      <c r="DC17" t="s">
        <v>228</v>
      </c>
      <c r="DD17">
        <v>1</v>
      </c>
      <c r="DE17" t="s">
        <v>119</v>
      </c>
      <c r="DF17" t="s">
        <v>133</v>
      </c>
      <c r="DG17">
        <v>60</v>
      </c>
      <c r="DH17" t="s">
        <v>102</v>
      </c>
      <c r="DO17" t="s">
        <v>133</v>
      </c>
      <c r="DP17">
        <v>60</v>
      </c>
      <c r="DQ17" t="s">
        <v>102</v>
      </c>
      <c r="DR17" t="s">
        <v>256</v>
      </c>
      <c r="DS17">
        <v>1</v>
      </c>
      <c r="ED17" t="s">
        <v>133</v>
      </c>
      <c r="EE17">
        <v>60</v>
      </c>
      <c r="EF17" t="s">
        <v>102</v>
      </c>
      <c r="EG17" t="s">
        <v>259</v>
      </c>
      <c r="EH17">
        <v>1</v>
      </c>
      <c r="ES17" t="s">
        <v>133</v>
      </c>
      <c r="ET17">
        <v>60</v>
      </c>
      <c r="EU17" t="s">
        <v>102</v>
      </c>
      <c r="EV17" t="s">
        <v>264</v>
      </c>
      <c r="EW17">
        <v>1</v>
      </c>
      <c r="FH17" t="s">
        <v>133</v>
      </c>
      <c r="FI17">
        <v>60</v>
      </c>
      <c r="FJ17" t="s">
        <v>102</v>
      </c>
      <c r="FK17" t="s">
        <v>265</v>
      </c>
      <c r="FL17">
        <v>1</v>
      </c>
      <c r="FW17" t="s">
        <v>133</v>
      </c>
      <c r="FX17">
        <v>60</v>
      </c>
      <c r="FY17" t="s">
        <v>102</v>
      </c>
      <c r="FZ17" t="s">
        <v>139</v>
      </c>
      <c r="GA17">
        <v>1</v>
      </c>
      <c r="GL17" t="s">
        <v>133</v>
      </c>
      <c r="GM17">
        <v>60</v>
      </c>
      <c r="GN17" t="s">
        <v>102</v>
      </c>
      <c r="GP17">
        <v>365</v>
      </c>
      <c r="GQ17" t="s">
        <v>52</v>
      </c>
      <c r="HA17" t="s">
        <v>133</v>
      </c>
      <c r="HB17">
        <v>60</v>
      </c>
      <c r="HC17" t="s">
        <v>102</v>
      </c>
    </row>
    <row r="18" spans="1:214" ht="13.5" thickTop="1" x14ac:dyDescent="0.2">
      <c r="A18" t="s">
        <v>148</v>
      </c>
      <c r="B18" s="410">
        <f>PEF!D3</f>
        <v>1359344473.5814338</v>
      </c>
      <c r="D18" t="s">
        <v>445</v>
      </c>
      <c r="E18" s="1">
        <f>B14</f>
        <v>9.7300000000000008E-3</v>
      </c>
      <c r="F18" t="s">
        <v>107</v>
      </c>
      <c r="G18" t="s">
        <v>123</v>
      </c>
      <c r="H18">
        <f>B39</f>
        <v>2.5</v>
      </c>
      <c r="J18" t="s">
        <v>455</v>
      </c>
      <c r="K18" s="1" t="e">
        <f>K5/(K9*(K25+K28)*K38)</f>
        <v>#DIV/0!</v>
      </c>
      <c r="L18" t="s">
        <v>22</v>
      </c>
      <c r="M18" s="117" t="s">
        <v>13</v>
      </c>
      <c r="N18" s="118" t="s">
        <v>142</v>
      </c>
      <c r="O18" s="118" t="s">
        <v>423</v>
      </c>
      <c r="P18" s="252" t="s">
        <v>13</v>
      </c>
      <c r="Q18" s="118" t="s">
        <v>183</v>
      </c>
      <c r="R18" s="119" t="s">
        <v>423</v>
      </c>
      <c r="V18" t="s">
        <v>452</v>
      </c>
      <c r="W18" s="1" t="e">
        <f>(W5*W6*W9)/((W11/W12)*(1-EXP(-W6*W9))*W10*W13*W8*W9)</f>
        <v>#DIV/0!</v>
      </c>
      <c r="X18" t="s">
        <v>37</v>
      </c>
      <c r="Y18" t="s">
        <v>452</v>
      </c>
      <c r="Z18" s="1" t="e">
        <f>(Z5*Z6*Z9)/((Z11/Z12)*(1-EXP(-Z6*Z9))*Z10*Z13*Z8*Z9)</f>
        <v>#DIV/0!</v>
      </c>
      <c r="AA18" t="s">
        <v>37</v>
      </c>
      <c r="AI18" s="133" t="s">
        <v>13</v>
      </c>
      <c r="AJ18" s="134" t="s">
        <v>142</v>
      </c>
      <c r="AK18" s="134" t="s">
        <v>423</v>
      </c>
      <c r="AL18" s="233" t="s">
        <v>13</v>
      </c>
      <c r="AM18" s="134" t="s">
        <v>183</v>
      </c>
      <c r="AN18" s="135" t="s">
        <v>423</v>
      </c>
      <c r="AR18" s="141" t="s">
        <v>13</v>
      </c>
      <c r="AS18" s="142" t="s">
        <v>142</v>
      </c>
      <c r="AT18" s="142" t="s">
        <v>423</v>
      </c>
      <c r="AU18" s="236" t="s">
        <v>13</v>
      </c>
      <c r="AV18" s="142" t="s">
        <v>183</v>
      </c>
      <c r="AW18" s="143" t="s">
        <v>423</v>
      </c>
      <c r="BA18" s="141" t="s">
        <v>13</v>
      </c>
      <c r="BB18" s="142" t="s">
        <v>142</v>
      </c>
      <c r="BC18" s="142" t="s">
        <v>423</v>
      </c>
      <c r="BD18" s="236" t="s">
        <v>13</v>
      </c>
      <c r="BE18" s="142" t="s">
        <v>183</v>
      </c>
      <c r="BF18" s="143" t="s">
        <v>423</v>
      </c>
      <c r="BJ18" s="141" t="s">
        <v>13</v>
      </c>
      <c r="BK18" s="142" t="s">
        <v>142</v>
      </c>
      <c r="BL18" s="142" t="s">
        <v>423</v>
      </c>
      <c r="BM18" s="236" t="s">
        <v>13</v>
      </c>
      <c r="BN18" s="142" t="s">
        <v>183</v>
      </c>
      <c r="BO18" s="143" t="s">
        <v>423</v>
      </c>
      <c r="BS18" t="s">
        <v>126</v>
      </c>
      <c r="BT18">
        <v>1</v>
      </c>
      <c r="BU18" t="s">
        <v>59</v>
      </c>
      <c r="BV18" t="s">
        <v>403</v>
      </c>
      <c r="BW18">
        <v>45</v>
      </c>
      <c r="BX18" t="s">
        <v>52</v>
      </c>
      <c r="BY18" t="s">
        <v>108</v>
      </c>
      <c r="BZ18">
        <f>B36</f>
        <v>200</v>
      </c>
      <c r="CA18" t="s">
        <v>90</v>
      </c>
      <c r="CB18" s="404" t="s">
        <v>475</v>
      </c>
      <c r="CC18" s="80">
        <f>(CC20*CC21*CC22)/((1-EXP(-CC22*CC21))*CC25*CC29*(CC24/365)*CC27*(CC28/24)*CC26)</f>
        <v>9839241.3439070992</v>
      </c>
      <c r="CD18" s="79"/>
      <c r="CE18" s="231" t="s">
        <v>475</v>
      </c>
      <c r="CF18" s="80">
        <f>(CF20*CF21*CF22)/((1-EXP(-CF22*CF21))*CF25*CF29*(CF24/365)*CF27*(CF28/24)*CF26)</f>
        <v>1166220.9064705169</v>
      </c>
      <c r="CG18" s="79"/>
      <c r="CK18" s="397" t="s">
        <v>456</v>
      </c>
      <c r="CL18" s="80" t="e">
        <f>CL20/(CL21*CL22*CL23*CL24)</f>
        <v>#DIV/0!</v>
      </c>
      <c r="CM18" s="398"/>
      <c r="CN18" s="78" t="s">
        <v>456</v>
      </c>
      <c r="CO18" s="80" t="e">
        <f>CL18/(CO20*((CO25*CO27*CO28*(CO21+CO22))+(CO26*CO27)))</f>
        <v>#DIV/0!</v>
      </c>
      <c r="CP18" s="79"/>
      <c r="CQ18" s="231" t="s">
        <v>456</v>
      </c>
      <c r="CR18" s="80" t="e">
        <f>CL18/(CR20*CR21*(1/CR22))</f>
        <v>#DIV/0!</v>
      </c>
      <c r="CS18" s="79"/>
      <c r="CT18" t="s">
        <v>455</v>
      </c>
      <c r="CU18" s="1" t="e">
        <f>DD3</f>
        <v>#DIV/0!</v>
      </c>
      <c r="CV18" t="s">
        <v>22</v>
      </c>
      <c r="CW18" t="s">
        <v>445</v>
      </c>
      <c r="CX18" s="1">
        <f>B14</f>
        <v>9.7300000000000008E-3</v>
      </c>
      <c r="CY18" t="s">
        <v>107</v>
      </c>
      <c r="CZ18" t="s">
        <v>479</v>
      </c>
      <c r="DA18" s="1" t="e">
        <f>EZ3</f>
        <v>#DIV/0!</v>
      </c>
      <c r="DC18" t="s">
        <v>229</v>
      </c>
      <c r="DD18">
        <v>1</v>
      </c>
      <c r="DE18" t="s">
        <v>119</v>
      </c>
      <c r="DF18" t="s">
        <v>135</v>
      </c>
      <c r="DG18">
        <v>2</v>
      </c>
      <c r="DH18" t="s">
        <v>111</v>
      </c>
      <c r="DO18" t="s">
        <v>135</v>
      </c>
      <c r="DP18">
        <v>2</v>
      </c>
      <c r="DQ18" t="s">
        <v>111</v>
      </c>
      <c r="DS18">
        <v>365</v>
      </c>
      <c r="DT18" t="s">
        <v>52</v>
      </c>
      <c r="ED18" t="s">
        <v>135</v>
      </c>
      <c r="EE18">
        <v>2</v>
      </c>
      <c r="EF18" t="s">
        <v>111</v>
      </c>
      <c r="EH18">
        <v>365</v>
      </c>
      <c r="EI18" t="s">
        <v>245</v>
      </c>
      <c r="ES18" t="s">
        <v>135</v>
      </c>
      <c r="ET18">
        <v>2</v>
      </c>
      <c r="EU18" t="s">
        <v>111</v>
      </c>
      <c r="EW18">
        <v>365</v>
      </c>
      <c r="EX18" t="s">
        <v>52</v>
      </c>
      <c r="FH18" t="s">
        <v>135</v>
      </c>
      <c r="FI18">
        <v>2</v>
      </c>
      <c r="FJ18" t="s">
        <v>111</v>
      </c>
      <c r="FL18">
        <v>365</v>
      </c>
      <c r="FM18" t="s">
        <v>52</v>
      </c>
      <c r="FW18" t="s">
        <v>135</v>
      </c>
      <c r="FX18">
        <v>2</v>
      </c>
      <c r="FY18" t="s">
        <v>111</v>
      </c>
      <c r="GA18">
        <v>365</v>
      </c>
      <c r="GB18" t="s">
        <v>52</v>
      </c>
      <c r="GL18" t="s">
        <v>135</v>
      </c>
      <c r="GM18">
        <v>2</v>
      </c>
      <c r="GN18" t="s">
        <v>111</v>
      </c>
      <c r="GO18" t="s">
        <v>433</v>
      </c>
      <c r="GP18" s="1">
        <f>B49</f>
        <v>0.15</v>
      </c>
      <c r="HA18" t="s">
        <v>135</v>
      </c>
      <c r="HB18">
        <v>2</v>
      </c>
      <c r="HC18" t="s">
        <v>111</v>
      </c>
    </row>
    <row r="19" spans="1:214" ht="13.5" thickBot="1" x14ac:dyDescent="0.25">
      <c r="A19" t="s">
        <v>184</v>
      </c>
      <c r="B19" s="410">
        <f>PEF!G3</f>
        <v>776129.4078035407</v>
      </c>
      <c r="D19" t="s">
        <v>464</v>
      </c>
      <c r="E19">
        <v>1</v>
      </c>
      <c r="G19" t="s">
        <v>223</v>
      </c>
      <c r="H19">
        <f>B33</f>
        <v>10</v>
      </c>
      <c r="J19" t="s">
        <v>82</v>
      </c>
      <c r="K19" s="428">
        <f>K21*K31*K35*K53+K22*K32*K34*K54</f>
        <v>43076.923076923078</v>
      </c>
      <c r="L19" t="s">
        <v>406</v>
      </c>
      <c r="M19" s="120" t="s">
        <v>32</v>
      </c>
      <c r="N19" s="121" t="s">
        <v>33</v>
      </c>
      <c r="O19" s="131" t="s">
        <v>146</v>
      </c>
      <c r="P19" s="253" t="s">
        <v>32</v>
      </c>
      <c r="Q19" s="121" t="s">
        <v>33</v>
      </c>
      <c r="R19" s="122" t="s">
        <v>22</v>
      </c>
      <c r="V19" t="s">
        <v>477</v>
      </c>
      <c r="W19" s="1">
        <f>(W5*W6*W9)/((W11/W12)*(1-EXP(-W6*W9))*W14*W8*W9*(1/365))</f>
        <v>33089.009264944914</v>
      </c>
      <c r="X19" t="s">
        <v>37</v>
      </c>
      <c r="Y19" t="s">
        <v>477</v>
      </c>
      <c r="Z19" s="1">
        <f>(Z5*Z6*Z9)/((Z11/Z12)*(1-EXP(-Z6*Z9))*Z14*Z8*Z9*(1/365))</f>
        <v>29780.108338450416</v>
      </c>
      <c r="AA19" t="s">
        <v>37</v>
      </c>
      <c r="AB19" t="s">
        <v>463</v>
      </c>
      <c r="AC19">
        <v>1</v>
      </c>
      <c r="AD19">
        <v>1</v>
      </c>
      <c r="AE19">
        <v>1</v>
      </c>
      <c r="AF19">
        <v>1</v>
      </c>
      <c r="AG19">
        <v>1</v>
      </c>
      <c r="AI19" s="136" t="s">
        <v>5</v>
      </c>
      <c r="AJ19" s="84" t="s">
        <v>34</v>
      </c>
      <c r="AK19" s="151" t="s">
        <v>146</v>
      </c>
      <c r="AL19" s="234" t="s">
        <v>5</v>
      </c>
      <c r="AM19" s="84" t="s">
        <v>34</v>
      </c>
      <c r="AN19" s="137" t="s">
        <v>22</v>
      </c>
      <c r="AR19" s="144" t="s">
        <v>2</v>
      </c>
      <c r="AS19" s="86" t="s">
        <v>34</v>
      </c>
      <c r="AT19" s="152" t="s">
        <v>146</v>
      </c>
      <c r="AU19" s="237" t="s">
        <v>2</v>
      </c>
      <c r="AV19" s="86" t="s">
        <v>34</v>
      </c>
      <c r="AW19" s="145" t="s">
        <v>22</v>
      </c>
      <c r="BA19" s="144" t="s">
        <v>4</v>
      </c>
      <c r="BB19" s="86" t="s">
        <v>34</v>
      </c>
      <c r="BC19" s="152" t="s">
        <v>146</v>
      </c>
      <c r="BD19" s="237" t="s">
        <v>4</v>
      </c>
      <c r="BE19" s="86" t="s">
        <v>34</v>
      </c>
      <c r="BF19" s="145" t="s">
        <v>22</v>
      </c>
      <c r="BJ19" s="144" t="s">
        <v>222</v>
      </c>
      <c r="BK19" s="86" t="s">
        <v>34</v>
      </c>
      <c r="BL19" s="152" t="s">
        <v>146</v>
      </c>
      <c r="BM19" s="237" t="s">
        <v>222</v>
      </c>
      <c r="BN19" s="86" t="s">
        <v>34</v>
      </c>
      <c r="BO19" s="145" t="s">
        <v>22</v>
      </c>
      <c r="BS19" t="s">
        <v>445</v>
      </c>
      <c r="BT19" s="1">
        <f>E18</f>
        <v>9.7300000000000008E-3</v>
      </c>
      <c r="BU19" t="s">
        <v>107</v>
      </c>
      <c r="BV19" t="s">
        <v>404</v>
      </c>
      <c r="BW19">
        <v>45</v>
      </c>
      <c r="BX19" t="s">
        <v>52</v>
      </c>
      <c r="BY19" t="s">
        <v>127</v>
      </c>
      <c r="BZ19">
        <f>B37</f>
        <v>100</v>
      </c>
      <c r="CA19" t="s">
        <v>90</v>
      </c>
      <c r="CB19" s="405"/>
      <c r="CC19" s="81"/>
      <c r="CD19" s="82"/>
      <c r="CE19" s="232"/>
      <c r="CF19" s="81"/>
      <c r="CG19" s="82"/>
      <c r="CK19" s="399"/>
      <c r="CL19" s="400"/>
      <c r="CM19" s="401"/>
      <c r="CN19" s="393"/>
      <c r="CO19" s="81"/>
      <c r="CP19" s="82"/>
      <c r="CQ19" s="232"/>
      <c r="CR19" s="81"/>
      <c r="CS19" s="82"/>
      <c r="CT19" t="s">
        <v>479</v>
      </c>
      <c r="CU19" s="1" t="e">
        <f>FC3</f>
        <v>#DIV/0!</v>
      </c>
      <c r="CV19" t="s">
        <v>22</v>
      </c>
      <c r="CW19" t="s">
        <v>464</v>
      </c>
      <c r="CX19">
        <v>1</v>
      </c>
      <c r="CZ19" t="s">
        <v>480</v>
      </c>
      <c r="DA19" s="1" t="e">
        <f>GS3</f>
        <v>#DIV/0!</v>
      </c>
      <c r="DD19" s="1">
        <v>9.9999999999999995E-7</v>
      </c>
      <c r="DF19" t="s">
        <v>137</v>
      </c>
      <c r="DG19">
        <v>2.6999999999999999E-5</v>
      </c>
      <c r="DH19" t="s">
        <v>130</v>
      </c>
      <c r="DO19" t="s">
        <v>137</v>
      </c>
      <c r="DP19">
        <v>2.6999999999999999E-5</v>
      </c>
      <c r="DQ19" t="s">
        <v>130</v>
      </c>
      <c r="DR19" t="s">
        <v>433</v>
      </c>
      <c r="DS19" s="1">
        <f>B49</f>
        <v>0.15</v>
      </c>
      <c r="ED19" t="s">
        <v>137</v>
      </c>
      <c r="EE19">
        <v>2.6999999999999999E-5</v>
      </c>
      <c r="EF19" t="s">
        <v>130</v>
      </c>
      <c r="EG19" t="s">
        <v>433</v>
      </c>
      <c r="EH19" s="1">
        <f>B49</f>
        <v>0.15</v>
      </c>
      <c r="ES19" t="s">
        <v>137</v>
      </c>
      <c r="ET19">
        <v>2.6999999999999999E-5</v>
      </c>
      <c r="EU19" t="s">
        <v>130</v>
      </c>
      <c r="EV19" t="s">
        <v>433</v>
      </c>
      <c r="EW19" s="1">
        <f>B49</f>
        <v>0.15</v>
      </c>
      <c r="FH19" t="s">
        <v>137</v>
      </c>
      <c r="FI19">
        <v>2.6999999999999999E-5</v>
      </c>
      <c r="FJ19" t="s">
        <v>130</v>
      </c>
      <c r="FK19" t="s">
        <v>433</v>
      </c>
      <c r="FL19" s="1">
        <f>B49</f>
        <v>0.15</v>
      </c>
      <c r="FW19" t="s">
        <v>137</v>
      </c>
      <c r="FX19">
        <v>2.6999999999999999E-5</v>
      </c>
      <c r="FY19" t="s">
        <v>130</v>
      </c>
      <c r="FZ19" t="s">
        <v>433</v>
      </c>
      <c r="GA19" s="1">
        <f>B49</f>
        <v>0.15</v>
      </c>
      <c r="GL19" t="s">
        <v>137</v>
      </c>
      <c r="GM19">
        <v>2.6999999999999999E-5</v>
      </c>
      <c r="GN19" t="s">
        <v>130</v>
      </c>
      <c r="GO19" t="s">
        <v>432</v>
      </c>
      <c r="GP19" s="1">
        <f>B50</f>
        <v>0.85</v>
      </c>
      <c r="HA19" t="s">
        <v>137</v>
      </c>
      <c r="HB19">
        <v>2.6999999999999999E-5</v>
      </c>
      <c r="HC19" t="s">
        <v>130</v>
      </c>
    </row>
    <row r="20" spans="1:214" ht="14.25" thickTop="1" thickBot="1" x14ac:dyDescent="0.25">
      <c r="A20" t="s">
        <v>185</v>
      </c>
      <c r="B20" s="410">
        <f>PEF!J3</f>
        <v>69557565.807898715</v>
      </c>
      <c r="D20" t="s">
        <v>452</v>
      </c>
      <c r="E20" s="1" t="e">
        <f>(E5)/((E14/E15)*E10*E11)</f>
        <v>#DIV/0!</v>
      </c>
      <c r="F20" t="s">
        <v>36</v>
      </c>
      <c r="G20" t="s">
        <v>224</v>
      </c>
      <c r="H20">
        <f>B34</f>
        <v>20</v>
      </c>
      <c r="J20" t="s">
        <v>77</v>
      </c>
      <c r="K20" s="428">
        <f>(K35*K31*K23*(K36/24)*K53)+(K34*K32*K24*(K37/24)*K54)</f>
        <v>6192.3076923076924</v>
      </c>
      <c r="L20" t="s">
        <v>134</v>
      </c>
      <c r="M20" s="120" t="s">
        <v>475</v>
      </c>
      <c r="N20" s="123">
        <f>(N22*N23*N24)/((1-EXP(-N24*N23))*N27*N32*(N26/365)*N30*((N31*N29)+(N33*N28)))</f>
        <v>2670.7570146757776</v>
      </c>
      <c r="O20" s="131"/>
      <c r="P20" s="253" t="s">
        <v>475</v>
      </c>
      <c r="Q20" s="123">
        <f>(Q22*Q23*Q24)/((1-EXP(-Q24*Q23))*Q27*Q32*(Q26/365)*Q30*((Q31*Q29)+(Q33*Q28)))</f>
        <v>581.51162833569117</v>
      </c>
      <c r="R20" s="122"/>
      <c r="AB20" t="s">
        <v>412</v>
      </c>
      <c r="AC20">
        <f>B35</f>
        <v>60</v>
      </c>
      <c r="AD20">
        <f>B35</f>
        <v>60</v>
      </c>
      <c r="AE20">
        <f>B35</f>
        <v>60</v>
      </c>
      <c r="AF20">
        <f>B35</f>
        <v>60</v>
      </c>
      <c r="AG20">
        <f>B35</f>
        <v>60</v>
      </c>
      <c r="AH20" t="s">
        <v>78</v>
      </c>
      <c r="AI20" s="136" t="s">
        <v>475</v>
      </c>
      <c r="AJ20" s="85">
        <f>(AJ22*AJ23*AJ24)/((1-EXP(-AJ24*AJ23))*AJ27*AJ32*(AJ26/365)*AJ30*((AJ31*AJ29)+(AJ33*AJ28)))</f>
        <v>9239.8103996531445</v>
      </c>
      <c r="AK20" s="151"/>
      <c r="AL20" s="234" t="s">
        <v>475</v>
      </c>
      <c r="AM20" s="85">
        <f>(AM22*AM23*AM24)/((1-EXP(-AM24*AM23))*AM27*AM32*(AM26/365)*AM30*((AM31*AM29)+(AM33*AM28)))</f>
        <v>3245.5247998781656</v>
      </c>
      <c r="AN20" s="137"/>
      <c r="AR20" s="144" t="s">
        <v>475</v>
      </c>
      <c r="AS20" s="87">
        <f>(AS22*AS23*AS24)/((1-EXP(-AS24*AS23))*AS27*AS32*(AS26/365)*AS30*((AS31*AS29)+(AS33*AS28)))</f>
        <v>4106.5823998458409</v>
      </c>
      <c r="AT20" s="152"/>
      <c r="AU20" s="237" t="s">
        <v>475</v>
      </c>
      <c r="AV20" s="87">
        <f>(AV22*AV23*AV24)/((1-EXP(-AV24*AV23))*AV27*AV32*(AV26/365)*AV30*((AV31*AV29)+(AV33*AV28)))</f>
        <v>1442.4554666125177</v>
      </c>
      <c r="AW20" s="145"/>
      <c r="BA20" s="144" t="s">
        <v>475</v>
      </c>
      <c r="BB20" s="87">
        <f>(BB22*BB23*BB24)/((1-EXP(-BB24*BB23))*BB27*BB32*(BB26/365)*BB30*((BB31*BB29)+(BB33*BB28)))</f>
        <v>3695.924159861258</v>
      </c>
      <c r="BC20" s="152"/>
      <c r="BD20" s="237" t="s">
        <v>475</v>
      </c>
      <c r="BE20" s="87">
        <f>(BE22*BE23*BE24)/((1-EXP(-BE24*BE23))*BE27*BE32*(BE26/365)*BE30*((BE31*BE29)+(BE33*BE28)))</f>
        <v>1298.2099199512663</v>
      </c>
      <c r="BF20" s="145"/>
      <c r="BJ20" s="144" t="s">
        <v>475</v>
      </c>
      <c r="BK20" s="87">
        <f>(BK22*BK23*BK24)/((1-EXP(-BK24*BK23))*BK29*BK34*(BK26/365)*BK32*BK33*BK31)</f>
        <v>11639514.568937851</v>
      </c>
      <c r="BL20" s="152"/>
      <c r="BM20" s="237" t="s">
        <v>475</v>
      </c>
      <c r="BN20" s="87">
        <f>(BN22*BN23*BN24)/((1-EXP(-BN24*BN23))*BN29*BN34*(BN26/365)*BN32*BN33*BN31)</f>
        <v>541005.33206282917</v>
      </c>
      <c r="BO20" s="145"/>
      <c r="BS20" t="s">
        <v>464</v>
      </c>
      <c r="BT20">
        <v>1</v>
      </c>
      <c r="BV20" t="s">
        <v>100</v>
      </c>
      <c r="BW20">
        <v>1</v>
      </c>
      <c r="BX20" t="s">
        <v>119</v>
      </c>
      <c r="BY20" t="s">
        <v>223</v>
      </c>
      <c r="BZ20">
        <f>B33</f>
        <v>10</v>
      </c>
      <c r="CA20" t="s">
        <v>78</v>
      </c>
      <c r="CB20" t="s">
        <v>458</v>
      </c>
      <c r="CC20" s="1">
        <v>1</v>
      </c>
      <c r="CD20" t="s">
        <v>459</v>
      </c>
      <c r="CE20" t="s">
        <v>458</v>
      </c>
      <c r="CF20" s="1">
        <v>1</v>
      </c>
      <c r="CG20" t="s">
        <v>459</v>
      </c>
      <c r="CK20" t="s">
        <v>458</v>
      </c>
      <c r="CL20" s="1">
        <v>1</v>
      </c>
      <c r="CM20" t="s">
        <v>459</v>
      </c>
      <c r="CN20" t="s">
        <v>396</v>
      </c>
      <c r="CO20" s="1">
        <f>B28</f>
        <v>0</v>
      </c>
      <c r="CQ20" t="s">
        <v>396</v>
      </c>
      <c r="CR20">
        <f>CO20</f>
        <v>0</v>
      </c>
      <c r="CT20" t="s">
        <v>480</v>
      </c>
      <c r="CU20" s="1" t="e">
        <f>GV3</f>
        <v>#DIV/0!</v>
      </c>
      <c r="CV20" t="s">
        <v>22</v>
      </c>
      <c r="CW20" t="s">
        <v>452</v>
      </c>
      <c r="CX20" s="1" t="e">
        <f>(CX5)/((CX14/CX15)*CX10*CX11)</f>
        <v>#DIV/0!</v>
      </c>
      <c r="CY20" t="s">
        <v>36</v>
      </c>
      <c r="CZ20" t="s">
        <v>481</v>
      </c>
      <c r="DA20" s="1" t="e">
        <f>EK3</f>
        <v>#DIV/0!</v>
      </c>
      <c r="DD20" s="1">
        <v>1000</v>
      </c>
      <c r="DE20" t="s">
        <v>179</v>
      </c>
      <c r="DF20" t="s">
        <v>138</v>
      </c>
      <c r="DG20" s="1">
        <f>0.693/DG23</f>
        <v>0.18141361256544503</v>
      </c>
      <c r="DH20" t="s">
        <v>130</v>
      </c>
      <c r="DO20" t="s">
        <v>138</v>
      </c>
      <c r="DP20">
        <v>0</v>
      </c>
      <c r="DQ20" t="s">
        <v>130</v>
      </c>
      <c r="DR20" t="s">
        <v>432</v>
      </c>
      <c r="DS20" s="1">
        <f>B50</f>
        <v>0.85</v>
      </c>
      <c r="ED20" t="s">
        <v>138</v>
      </c>
      <c r="EE20">
        <v>0</v>
      </c>
      <c r="EF20" t="s">
        <v>130</v>
      </c>
      <c r="EG20" t="s">
        <v>432</v>
      </c>
      <c r="EH20" s="1">
        <f>B50</f>
        <v>0.85</v>
      </c>
      <c r="ES20" t="s">
        <v>138</v>
      </c>
      <c r="ET20">
        <v>0</v>
      </c>
      <c r="EU20" t="s">
        <v>130</v>
      </c>
      <c r="EV20" t="s">
        <v>432</v>
      </c>
      <c r="EW20" s="1">
        <f>B50</f>
        <v>0.85</v>
      </c>
      <c r="FH20" t="s">
        <v>138</v>
      </c>
      <c r="FI20">
        <v>0</v>
      </c>
      <c r="FJ20" t="s">
        <v>130</v>
      </c>
      <c r="FK20" t="s">
        <v>432</v>
      </c>
      <c r="FL20" s="1">
        <f>B50</f>
        <v>0.85</v>
      </c>
      <c r="FW20" t="s">
        <v>138</v>
      </c>
      <c r="FX20">
        <v>0</v>
      </c>
      <c r="FY20" t="s">
        <v>130</v>
      </c>
      <c r="FZ20" t="s">
        <v>432</v>
      </c>
      <c r="GA20" s="1">
        <f>B50</f>
        <v>0.85</v>
      </c>
      <c r="GL20" t="s">
        <v>138</v>
      </c>
      <c r="GM20">
        <v>0</v>
      </c>
      <c r="GN20" t="s">
        <v>130</v>
      </c>
      <c r="HA20" t="s">
        <v>138</v>
      </c>
      <c r="HB20">
        <v>0</v>
      </c>
      <c r="HC20" t="s">
        <v>130</v>
      </c>
    </row>
    <row r="21" spans="1:214" ht="14.25" thickTop="1" thickBot="1" x14ac:dyDescent="0.25">
      <c r="A21" t="s">
        <v>411</v>
      </c>
      <c r="B21" s="410">
        <v>3.82</v>
      </c>
      <c r="C21" t="s">
        <v>381</v>
      </c>
      <c r="D21" t="s">
        <v>477</v>
      </c>
      <c r="E21" s="1">
        <f>(E5)/((E14/E15)*E8*E9*E18*(1/365)*E19)</f>
        <v>107.17956247247099</v>
      </c>
      <c r="F21" t="s">
        <v>36</v>
      </c>
      <c r="G21" t="s">
        <v>240</v>
      </c>
      <c r="H21" s="426">
        <f>(H29*H32*H38*H34*H70)+(H30*H33*H39*H35*H71)</f>
        <v>234.76923076923077</v>
      </c>
      <c r="I21" t="s">
        <v>408</v>
      </c>
      <c r="J21" t="s">
        <v>108</v>
      </c>
      <c r="K21">
        <f>B36</f>
        <v>200</v>
      </c>
      <c r="L21" t="s">
        <v>90</v>
      </c>
      <c r="M21" s="124"/>
      <c r="N21" s="125"/>
      <c r="O21" s="169"/>
      <c r="P21" s="254"/>
      <c r="Q21" s="125"/>
      <c r="R21" s="126"/>
      <c r="AB21" t="s">
        <v>462</v>
      </c>
      <c r="AC21">
        <v>0.4</v>
      </c>
      <c r="AD21">
        <v>0.4</v>
      </c>
      <c r="AE21">
        <v>0.4</v>
      </c>
      <c r="AF21">
        <v>0.4</v>
      </c>
      <c r="AG21">
        <v>0.4</v>
      </c>
      <c r="AI21" s="138" t="s">
        <v>32</v>
      </c>
      <c r="AJ21" s="139"/>
      <c r="AK21" s="153"/>
      <c r="AL21" s="235" t="s">
        <v>32</v>
      </c>
      <c r="AM21" s="139"/>
      <c r="AN21" s="140"/>
      <c r="AR21" s="146" t="s">
        <v>32</v>
      </c>
      <c r="AS21" s="147"/>
      <c r="AT21" s="154"/>
      <c r="AU21" s="238" t="s">
        <v>32</v>
      </c>
      <c r="AV21" s="147"/>
      <c r="AW21" s="148"/>
      <c r="BA21" s="146" t="s">
        <v>32</v>
      </c>
      <c r="BB21" s="147"/>
      <c r="BC21" s="154"/>
      <c r="BD21" s="238" t="s">
        <v>32</v>
      </c>
      <c r="BE21" s="147"/>
      <c r="BF21" s="148"/>
      <c r="BJ21" s="146" t="s">
        <v>32</v>
      </c>
      <c r="BK21" s="147"/>
      <c r="BL21" s="154"/>
      <c r="BM21" s="238" t="s">
        <v>32</v>
      </c>
      <c r="BN21" s="147"/>
      <c r="BO21" s="148"/>
      <c r="BS21" t="s">
        <v>452</v>
      </c>
      <c r="BT21" s="1" t="e">
        <f>(BT5)/(BT10*BT11)</f>
        <v>#DIV/0!</v>
      </c>
      <c r="BU21" t="s">
        <v>36</v>
      </c>
      <c r="BV21" t="s">
        <v>402</v>
      </c>
      <c r="BW21">
        <v>1</v>
      </c>
      <c r="BY21" t="s">
        <v>224</v>
      </c>
      <c r="BZ21">
        <f>B34</f>
        <v>20</v>
      </c>
      <c r="CA21" t="s">
        <v>78</v>
      </c>
      <c r="CB21" t="s">
        <v>58</v>
      </c>
      <c r="CC21">
        <v>26</v>
      </c>
      <c r="CD21" t="s">
        <v>59</v>
      </c>
      <c r="CE21" t="s">
        <v>58</v>
      </c>
      <c r="CF21">
        <v>26</v>
      </c>
      <c r="CG21" t="s">
        <v>59</v>
      </c>
      <c r="CK21" t="s">
        <v>447</v>
      </c>
      <c r="CL21" s="1">
        <f>E35</f>
        <v>0</v>
      </c>
      <c r="CM21" t="s">
        <v>22</v>
      </c>
      <c r="CN21" t="s">
        <v>47</v>
      </c>
      <c r="CO21">
        <f>CO23</f>
        <v>0</v>
      </c>
      <c r="CQ21" t="s">
        <v>316</v>
      </c>
      <c r="CR21" s="17">
        <v>1</v>
      </c>
      <c r="CS21" t="s">
        <v>56</v>
      </c>
      <c r="CT21" t="s">
        <v>481</v>
      </c>
      <c r="CU21" s="1" t="e">
        <f>EN3</f>
        <v>#DIV/0!</v>
      </c>
      <c r="CV21" t="s">
        <v>22</v>
      </c>
      <c r="CW21" t="s">
        <v>477</v>
      </c>
      <c r="CX21" s="1">
        <f>(CX5)/((CX14/CX15)*CX8*CX9*CX18*(1/365)*CX19)</f>
        <v>107.17956247247099</v>
      </c>
      <c r="CY21" t="s">
        <v>36</v>
      </c>
      <c r="CZ21" t="s">
        <v>482</v>
      </c>
      <c r="DA21" s="1" t="e">
        <f>DV3</f>
        <v>#DIV/0!</v>
      </c>
      <c r="DC21" t="s">
        <v>139</v>
      </c>
      <c r="DD21">
        <v>1</v>
      </c>
      <c r="DF21" t="s">
        <v>140</v>
      </c>
      <c r="DG21">
        <v>1</v>
      </c>
      <c r="DH21" t="s">
        <v>75</v>
      </c>
      <c r="DO21" t="s">
        <v>140</v>
      </c>
      <c r="DP21">
        <v>1</v>
      </c>
      <c r="DQ21" t="s">
        <v>75</v>
      </c>
      <c r="ED21" t="s">
        <v>140</v>
      </c>
      <c r="EE21">
        <v>1</v>
      </c>
      <c r="EF21" t="s">
        <v>75</v>
      </c>
      <c r="ES21" t="s">
        <v>140</v>
      </c>
      <c r="ET21">
        <v>1</v>
      </c>
      <c r="EU21" t="s">
        <v>75</v>
      </c>
      <c r="FH21" t="s">
        <v>140</v>
      </c>
      <c r="FI21">
        <v>1</v>
      </c>
      <c r="FJ21" t="s">
        <v>75</v>
      </c>
      <c r="FW21" t="s">
        <v>140</v>
      </c>
      <c r="FX21">
        <v>1</v>
      </c>
      <c r="FY21" t="s">
        <v>75</v>
      </c>
      <c r="GL21" t="s">
        <v>140</v>
      </c>
      <c r="GM21">
        <v>1</v>
      </c>
      <c r="GN21" t="s">
        <v>75</v>
      </c>
      <c r="HA21" t="s">
        <v>140</v>
      </c>
      <c r="HB21">
        <v>1</v>
      </c>
      <c r="HC21" t="s">
        <v>75</v>
      </c>
      <c r="HD21" s="157" t="s">
        <v>456</v>
      </c>
      <c r="HE21" s="158" t="s">
        <v>423</v>
      </c>
      <c r="HF21" s="159" t="s">
        <v>143</v>
      </c>
    </row>
    <row r="22" spans="1:214" ht="13.5" thickTop="1" x14ac:dyDescent="0.2">
      <c r="A22" t="s">
        <v>186</v>
      </c>
      <c r="B22" s="411">
        <v>0</v>
      </c>
      <c r="C22" t="s">
        <v>45</v>
      </c>
      <c r="D22" t="s">
        <v>452</v>
      </c>
      <c r="E22" s="1" t="e">
        <f>(E5*E9*E6)/((E14/E15)*(1-EXP(-E6*E9))*E10*E11)</f>
        <v>#DIV/0!</v>
      </c>
      <c r="F22" t="s">
        <v>37</v>
      </c>
      <c r="G22" t="s">
        <v>373</v>
      </c>
      <c r="H22" s="427">
        <f>(H29*H32*H23*H70)+(H30*H33*H24*H71)</f>
        <v>16326.153846153848</v>
      </c>
      <c r="I22" t="s">
        <v>213</v>
      </c>
      <c r="J22" t="s">
        <v>127</v>
      </c>
      <c r="K22">
        <f>B37</f>
        <v>100</v>
      </c>
      <c r="L22" t="s">
        <v>90</v>
      </c>
      <c r="M22" t="s">
        <v>485</v>
      </c>
      <c r="N22" s="1">
        <v>1</v>
      </c>
      <c r="P22" t="s">
        <v>485</v>
      </c>
      <c r="Q22" s="1">
        <v>1</v>
      </c>
      <c r="V22" s="88" t="s">
        <v>1</v>
      </c>
      <c r="W22" s="89" t="s">
        <v>5</v>
      </c>
      <c r="X22" s="89" t="s">
        <v>423</v>
      </c>
      <c r="Y22" s="248" t="s">
        <v>1</v>
      </c>
      <c r="Z22" s="89" t="s">
        <v>222</v>
      </c>
      <c r="AA22" s="90" t="s">
        <v>423</v>
      </c>
      <c r="AB22" t="s">
        <v>105</v>
      </c>
      <c r="AC22">
        <v>1</v>
      </c>
      <c r="AD22">
        <v>1</v>
      </c>
      <c r="AE22">
        <v>1</v>
      </c>
      <c r="AF22">
        <v>1</v>
      </c>
      <c r="AG22">
        <v>1</v>
      </c>
      <c r="AI22" t="s">
        <v>458</v>
      </c>
      <c r="AJ22" s="1">
        <v>1</v>
      </c>
      <c r="AK22" t="s">
        <v>459</v>
      </c>
      <c r="AL22" t="s">
        <v>458</v>
      </c>
      <c r="AM22" s="1">
        <v>1</v>
      </c>
      <c r="AN22" t="s">
        <v>459</v>
      </c>
      <c r="AR22" t="s">
        <v>458</v>
      </c>
      <c r="AS22" s="1">
        <v>1</v>
      </c>
      <c r="AT22" t="s">
        <v>459</v>
      </c>
      <c r="AU22" t="s">
        <v>458</v>
      </c>
      <c r="AV22" s="1">
        <v>1</v>
      </c>
      <c r="AW22" t="s">
        <v>459</v>
      </c>
      <c r="BA22" t="s">
        <v>458</v>
      </c>
      <c r="BB22" s="1">
        <v>1</v>
      </c>
      <c r="BC22" t="s">
        <v>459</v>
      </c>
      <c r="BD22" t="s">
        <v>458</v>
      </c>
      <c r="BE22" s="1">
        <v>1</v>
      </c>
      <c r="BF22" t="s">
        <v>459</v>
      </c>
      <c r="BJ22" t="s">
        <v>458</v>
      </c>
      <c r="BK22" s="1">
        <v>1</v>
      </c>
      <c r="BL22" t="s">
        <v>459</v>
      </c>
      <c r="BM22" t="s">
        <v>458</v>
      </c>
      <c r="BN22" s="1">
        <v>1</v>
      </c>
      <c r="BO22" t="s">
        <v>459</v>
      </c>
      <c r="BS22" t="s">
        <v>477</v>
      </c>
      <c r="BT22" s="1">
        <f>(BT5)/((BT14/24)*(BT8/365)*BT9*BT19*BT20)</f>
        <v>12004.110996916752</v>
      </c>
      <c r="BU22" t="s">
        <v>36</v>
      </c>
      <c r="BV22" t="s">
        <v>401</v>
      </c>
      <c r="BW22">
        <v>1</v>
      </c>
      <c r="BY22" t="s">
        <v>221</v>
      </c>
      <c r="BZ22">
        <v>75</v>
      </c>
      <c r="CA22" t="s">
        <v>52</v>
      </c>
      <c r="CB22" t="s">
        <v>49</v>
      </c>
      <c r="CC22" s="1">
        <f>0.693/CC23</f>
        <v>66.155354824913829</v>
      </c>
      <c r="CE22" t="s">
        <v>49</v>
      </c>
      <c r="CF22" s="1">
        <f>0.693/CF23</f>
        <v>66.155354824913829</v>
      </c>
      <c r="CK22" t="s">
        <v>221</v>
      </c>
      <c r="CL22">
        <v>75</v>
      </c>
      <c r="CM22" t="s">
        <v>245</v>
      </c>
      <c r="CN22" t="s">
        <v>54</v>
      </c>
      <c r="CO22">
        <f>CO24</f>
        <v>0.25</v>
      </c>
      <c r="CR22">
        <v>1000</v>
      </c>
      <c r="CS22" t="s">
        <v>213</v>
      </c>
      <c r="CT22" t="s">
        <v>482</v>
      </c>
      <c r="CU22" s="1" t="e">
        <f>DY3</f>
        <v>#DIV/0!</v>
      </c>
      <c r="CV22" t="s">
        <v>22</v>
      </c>
      <c r="CW22" t="s">
        <v>452</v>
      </c>
      <c r="CX22" s="1" t="e">
        <f>(CX5*CX9*CX6)/((CX14/CX15)*(1-EXP(-CX6*CX9))*CX10*CX11)</f>
        <v>#DIV/0!</v>
      </c>
      <c r="CY22" t="s">
        <v>37</v>
      </c>
      <c r="CZ22" t="s">
        <v>483</v>
      </c>
      <c r="DA22" s="1" t="e">
        <f>GD3</f>
        <v>#DIV/0!</v>
      </c>
      <c r="DC22" t="s">
        <v>433</v>
      </c>
      <c r="DD22" s="1">
        <f>B49</f>
        <v>0.15</v>
      </c>
      <c r="DF22" t="s">
        <v>144</v>
      </c>
      <c r="DG22">
        <v>14</v>
      </c>
      <c r="DH22" t="s">
        <v>145</v>
      </c>
      <c r="DO22" t="s">
        <v>144</v>
      </c>
      <c r="DP22">
        <v>14</v>
      </c>
      <c r="DQ22" t="s">
        <v>145</v>
      </c>
      <c r="ED22" t="s">
        <v>144</v>
      </c>
      <c r="EE22">
        <v>14</v>
      </c>
      <c r="EF22" t="s">
        <v>145</v>
      </c>
      <c r="ES22" t="s">
        <v>144</v>
      </c>
      <c r="ET22">
        <v>14</v>
      </c>
      <c r="EU22" t="s">
        <v>145</v>
      </c>
      <c r="FH22" t="s">
        <v>144</v>
      </c>
      <c r="FI22">
        <v>14</v>
      </c>
      <c r="FJ22" t="s">
        <v>145</v>
      </c>
      <c r="FW22" t="s">
        <v>144</v>
      </c>
      <c r="FX22">
        <v>14</v>
      </c>
      <c r="FY22" t="s">
        <v>145</v>
      </c>
      <c r="GL22" t="s">
        <v>144</v>
      </c>
      <c r="GM22">
        <v>14</v>
      </c>
      <c r="GN22" t="s">
        <v>145</v>
      </c>
      <c r="HA22" t="s">
        <v>144</v>
      </c>
      <c r="HB22">
        <v>14</v>
      </c>
      <c r="HC22" t="s">
        <v>145</v>
      </c>
      <c r="HD22" s="160" t="s">
        <v>22</v>
      </c>
      <c r="HE22" s="161" t="s">
        <v>33</v>
      </c>
      <c r="HF22" s="162" t="s">
        <v>35</v>
      </c>
    </row>
    <row r="23" spans="1:214" x14ac:dyDescent="0.2">
      <c r="A23" t="s">
        <v>421</v>
      </c>
      <c r="B23" s="410">
        <v>0</v>
      </c>
      <c r="D23" t="s">
        <v>477</v>
      </c>
      <c r="E23" s="1">
        <f>(E5*E9*E6)/((E14/E15)*E8*E9*(1-EXP(-E6*E9))*E18*(1/365)*E19)</f>
        <v>107.18293866416234</v>
      </c>
      <c r="F23" t="s">
        <v>37</v>
      </c>
      <c r="G23" t="s">
        <v>374</v>
      </c>
      <c r="H23" s="1">
        <f>B40</f>
        <v>14.8</v>
      </c>
      <c r="I23" t="s">
        <v>380</v>
      </c>
      <c r="J23" t="s">
        <v>223</v>
      </c>
      <c r="K23">
        <f>B33</f>
        <v>10</v>
      </c>
      <c r="L23" t="s">
        <v>78</v>
      </c>
      <c r="M23" t="s">
        <v>58</v>
      </c>
      <c r="N23">
        <v>26</v>
      </c>
      <c r="O23" t="s">
        <v>59</v>
      </c>
      <c r="P23" t="s">
        <v>58</v>
      </c>
      <c r="Q23">
        <v>26</v>
      </c>
      <c r="R23" t="s">
        <v>59</v>
      </c>
      <c r="V23" s="91" t="s">
        <v>18</v>
      </c>
      <c r="W23" s="92" t="s">
        <v>456</v>
      </c>
      <c r="X23" s="92" t="s">
        <v>19</v>
      </c>
      <c r="Y23" s="249" t="s">
        <v>18</v>
      </c>
      <c r="Z23" s="92" t="s">
        <v>456</v>
      </c>
      <c r="AA23" s="93" t="s">
        <v>19</v>
      </c>
      <c r="AB23" t="s">
        <v>460</v>
      </c>
      <c r="AC23" s="1">
        <f>B9</f>
        <v>10.6</v>
      </c>
      <c r="AD23" s="1">
        <f>B9</f>
        <v>10.6</v>
      </c>
      <c r="AE23" s="1">
        <f>B9</f>
        <v>10.6</v>
      </c>
      <c r="AF23" s="1">
        <f>B9</f>
        <v>10.6</v>
      </c>
      <c r="AG23" s="1">
        <f>B9</f>
        <v>10.6</v>
      </c>
      <c r="AH23" t="s">
        <v>449</v>
      </c>
      <c r="AI23" t="s">
        <v>58</v>
      </c>
      <c r="AJ23">
        <v>25</v>
      </c>
      <c r="AK23" t="s">
        <v>59</v>
      </c>
      <c r="AL23" t="s">
        <v>58</v>
      </c>
      <c r="AM23">
        <v>25</v>
      </c>
      <c r="AN23" t="s">
        <v>59</v>
      </c>
      <c r="AR23" t="s">
        <v>58</v>
      </c>
      <c r="AS23">
        <v>25</v>
      </c>
      <c r="AT23" t="s">
        <v>59</v>
      </c>
      <c r="AU23" t="s">
        <v>58</v>
      </c>
      <c r="AV23">
        <v>25</v>
      </c>
      <c r="AW23" t="s">
        <v>59</v>
      </c>
      <c r="BA23" t="s">
        <v>58</v>
      </c>
      <c r="BB23">
        <v>25</v>
      </c>
      <c r="BC23" t="s">
        <v>59</v>
      </c>
      <c r="BD23" t="s">
        <v>58</v>
      </c>
      <c r="BE23">
        <v>25</v>
      </c>
      <c r="BF23" t="s">
        <v>59</v>
      </c>
      <c r="BJ23" t="s">
        <v>58</v>
      </c>
      <c r="BK23">
        <v>1</v>
      </c>
      <c r="BL23" t="s">
        <v>59</v>
      </c>
      <c r="BM23" t="s">
        <v>58</v>
      </c>
      <c r="BN23">
        <v>1</v>
      </c>
      <c r="BO23" t="s">
        <v>59</v>
      </c>
      <c r="BS23" t="s">
        <v>452</v>
      </c>
      <c r="BT23" s="1" t="e">
        <f>(BT5*BT28*BT6)/((1-EXP(-BT6*BT28))*BT10*BT11)</f>
        <v>#DIV/0!</v>
      </c>
      <c r="BU23" t="s">
        <v>37</v>
      </c>
      <c r="BV23" t="s">
        <v>399</v>
      </c>
      <c r="BW23">
        <v>1</v>
      </c>
      <c r="BX23" t="s">
        <v>164</v>
      </c>
      <c r="BY23" t="s">
        <v>73</v>
      </c>
      <c r="BZ23">
        <v>75</v>
      </c>
      <c r="CA23" t="s">
        <v>52</v>
      </c>
      <c r="CB23" t="s">
        <v>411</v>
      </c>
      <c r="CC23" s="1">
        <f>B17</f>
        <v>1.04753425E-2</v>
      </c>
      <c r="CD23" t="s">
        <v>119</v>
      </c>
      <c r="CE23" t="s">
        <v>411</v>
      </c>
      <c r="CF23" s="1">
        <f>B17</f>
        <v>1.04753425E-2</v>
      </c>
      <c r="CG23" t="s">
        <v>119</v>
      </c>
      <c r="CK23" t="s">
        <v>99</v>
      </c>
      <c r="CL23">
        <v>1</v>
      </c>
      <c r="CM23" t="s">
        <v>253</v>
      </c>
      <c r="CN23" t="s">
        <v>64</v>
      </c>
      <c r="CO23" s="1">
        <f>B31</f>
        <v>0</v>
      </c>
      <c r="CT23" t="s">
        <v>483</v>
      </c>
      <c r="CU23" s="1" t="e">
        <f>GG3</f>
        <v>#DIV/0!</v>
      </c>
      <c r="CV23" t="s">
        <v>22</v>
      </c>
      <c r="CW23" t="s">
        <v>477</v>
      </c>
      <c r="CX23" s="1">
        <f>(CX5*CX9*CX6)/((CX14/CX15)*CX8*CX9*(1-EXP(-CX6*CX9))*CX18*(1/365)*CX19)</f>
        <v>7090.5019853453368</v>
      </c>
      <c r="CY23" t="s">
        <v>37</v>
      </c>
      <c r="CZ23" t="s">
        <v>484</v>
      </c>
      <c r="DA23" s="1" t="e">
        <f>FO3</f>
        <v>#DIV/0!</v>
      </c>
      <c r="DC23" t="s">
        <v>432</v>
      </c>
      <c r="DD23" s="1">
        <f>B50</f>
        <v>0.85</v>
      </c>
      <c r="DF23" t="s">
        <v>485</v>
      </c>
      <c r="DG23" s="1">
        <f>B21</f>
        <v>3.82</v>
      </c>
      <c r="DH23" t="s">
        <v>381</v>
      </c>
      <c r="DO23" t="s">
        <v>46</v>
      </c>
      <c r="DP23">
        <f>DP25</f>
        <v>0</v>
      </c>
      <c r="ED23" t="s">
        <v>46</v>
      </c>
      <c r="EE23">
        <f>EE25</f>
        <v>0</v>
      </c>
      <c r="ES23" t="s">
        <v>46</v>
      </c>
      <c r="ET23">
        <f>ET25</f>
        <v>0</v>
      </c>
      <c r="FH23" t="s">
        <v>46</v>
      </c>
      <c r="FI23">
        <v>0.2</v>
      </c>
      <c r="FW23" t="s">
        <v>46</v>
      </c>
      <c r="FX23">
        <f>FX25</f>
        <v>0.2</v>
      </c>
      <c r="GL23" t="s">
        <v>46</v>
      </c>
      <c r="GM23">
        <f>GM25</f>
        <v>5.0000000000000001E-3</v>
      </c>
      <c r="HA23" t="s">
        <v>46</v>
      </c>
      <c r="HB23">
        <f>HB25</f>
        <v>5.0000000000000001E-3</v>
      </c>
      <c r="HD23" s="302">
        <f>(HE25*HE33*HE38*HE32*10^-3*HE31*HE27)/(HE30*HE41*(1-EXP(-HE27*HE31)))</f>
        <v>722.12939181482432</v>
      </c>
      <c r="HE23" s="303"/>
      <c r="HF23" s="162" t="s">
        <v>38</v>
      </c>
    </row>
    <row r="24" spans="1:214" ht="13.5" thickBot="1" x14ac:dyDescent="0.25">
      <c r="A24" t="s">
        <v>418</v>
      </c>
      <c r="B24" s="410">
        <v>0</v>
      </c>
      <c r="D24" t="s">
        <v>225</v>
      </c>
      <c r="E24">
        <v>350</v>
      </c>
      <c r="F24" t="s">
        <v>52</v>
      </c>
      <c r="G24" t="s">
        <v>375</v>
      </c>
      <c r="H24" s="1">
        <f>B41</f>
        <v>56.2</v>
      </c>
      <c r="I24" t="s">
        <v>380</v>
      </c>
      <c r="J24" t="s">
        <v>224</v>
      </c>
      <c r="K24">
        <f>B34</f>
        <v>20</v>
      </c>
      <c r="L24" t="s">
        <v>78</v>
      </c>
      <c r="M24" t="s">
        <v>49</v>
      </c>
      <c r="N24" s="1">
        <f>0.693/N25</f>
        <v>66.155354824913829</v>
      </c>
      <c r="P24" t="s">
        <v>49</v>
      </c>
      <c r="Q24" s="1">
        <f>0.693/Q25</f>
        <v>66.155354824913829</v>
      </c>
      <c r="V24" s="91" t="s">
        <v>37</v>
      </c>
      <c r="W24" s="94" t="e">
        <f>1/((1/W39)+(1/W40))</f>
        <v>#DIV/0!</v>
      </c>
      <c r="X24" s="127"/>
      <c r="Y24" s="250" t="s">
        <v>37</v>
      </c>
      <c r="Z24" s="94" t="e">
        <f>1/((1/Z37)+(1/Z38))</f>
        <v>#DIV/0!</v>
      </c>
      <c r="AA24" s="95"/>
      <c r="AB24" t="s">
        <v>436</v>
      </c>
      <c r="AC24" s="1">
        <f>B5</f>
        <v>0</v>
      </c>
      <c r="AD24" s="1">
        <f>B5</f>
        <v>0</v>
      </c>
      <c r="AE24" s="1">
        <f>B5</f>
        <v>0</v>
      </c>
      <c r="AF24" s="1">
        <f>B5</f>
        <v>0</v>
      </c>
      <c r="AG24" s="1">
        <f>B5</f>
        <v>0</v>
      </c>
      <c r="AH24" t="s">
        <v>448</v>
      </c>
      <c r="AI24" t="s">
        <v>49</v>
      </c>
      <c r="AJ24" s="1">
        <f>0.693/AJ25</f>
        <v>66.155354824913829</v>
      </c>
      <c r="AL24" t="s">
        <v>49</v>
      </c>
      <c r="AM24" s="1">
        <f>0.693/AM25</f>
        <v>66.155354824913829</v>
      </c>
      <c r="AR24" t="s">
        <v>49</v>
      </c>
      <c r="AS24" s="1">
        <f>0.693/AS25</f>
        <v>66.155354824913829</v>
      </c>
      <c r="AU24" t="s">
        <v>49</v>
      </c>
      <c r="AV24" s="1">
        <f>0.693/AV25</f>
        <v>66.155354824913829</v>
      </c>
      <c r="BA24" t="s">
        <v>49</v>
      </c>
      <c r="BB24" s="1">
        <f>0.693/BB25</f>
        <v>66.155354824913829</v>
      </c>
      <c r="BD24" t="s">
        <v>49</v>
      </c>
      <c r="BE24" s="1">
        <f>0.693/BE25</f>
        <v>66.155354824913829</v>
      </c>
      <c r="BJ24" t="s">
        <v>49</v>
      </c>
      <c r="BK24" s="1">
        <f>0.693/BK25</f>
        <v>66.155354824913829</v>
      </c>
      <c r="BM24" t="s">
        <v>49</v>
      </c>
      <c r="BN24" s="1">
        <f>0.693/BN25</f>
        <v>66.155354824913829</v>
      </c>
      <c r="BS24" t="s">
        <v>477</v>
      </c>
      <c r="BT24" s="1">
        <f>(BT5*BT28*BT6)/((BT14/24)*(BT8/365)*BT9*(1-EXP(-BT6*BT28))*BT19*BT20)</f>
        <v>20647541.781325623</v>
      </c>
      <c r="BU24" t="s">
        <v>37</v>
      </c>
      <c r="BV24" t="s">
        <v>398</v>
      </c>
      <c r="BW24">
        <v>1</v>
      </c>
      <c r="BX24" t="s">
        <v>164</v>
      </c>
      <c r="BY24" t="s">
        <v>67</v>
      </c>
      <c r="BZ24">
        <v>75</v>
      </c>
      <c r="CA24" t="s">
        <v>52</v>
      </c>
      <c r="CB24" t="s">
        <v>51</v>
      </c>
      <c r="CC24">
        <v>75</v>
      </c>
      <c r="CD24" t="s">
        <v>60</v>
      </c>
      <c r="CE24" t="s">
        <v>51</v>
      </c>
      <c r="CF24">
        <v>75</v>
      </c>
      <c r="CG24" t="s">
        <v>60</v>
      </c>
      <c r="CK24" t="s">
        <v>304</v>
      </c>
      <c r="CL24" s="17">
        <v>1</v>
      </c>
      <c r="CM24" t="s">
        <v>380</v>
      </c>
      <c r="CN24" t="s">
        <v>311</v>
      </c>
      <c r="CO24" s="17">
        <v>0.25</v>
      </c>
      <c r="CT24" t="s">
        <v>484</v>
      </c>
      <c r="CU24" s="1" t="e">
        <f>FR3</f>
        <v>#DIV/0!</v>
      </c>
      <c r="CV24" t="s">
        <v>22</v>
      </c>
      <c r="CW24" t="s">
        <v>225</v>
      </c>
      <c r="CX24">
        <v>350</v>
      </c>
      <c r="CY24" t="s">
        <v>52</v>
      </c>
      <c r="CZ24" t="s">
        <v>81</v>
      </c>
      <c r="DA24" s="427">
        <f>(DA35*DA37*DA27*DA51)+(DA36*DA38*DA28*DA52)</f>
        <v>784.7</v>
      </c>
      <c r="DB24" t="s">
        <v>180</v>
      </c>
      <c r="DG24">
        <v>1000</v>
      </c>
      <c r="DO24" t="s">
        <v>54</v>
      </c>
      <c r="DP24">
        <f>DP26</f>
        <v>0.26</v>
      </c>
      <c r="ED24" t="s">
        <v>54</v>
      </c>
      <c r="EE24">
        <f>EE26</f>
        <v>0.25</v>
      </c>
      <c r="ES24" t="s">
        <v>54</v>
      </c>
      <c r="ET24">
        <f>ET26</f>
        <v>0.25</v>
      </c>
      <c r="FH24" t="s">
        <v>54</v>
      </c>
      <c r="FI24">
        <v>0.25</v>
      </c>
      <c r="FW24" t="s">
        <v>54</v>
      </c>
      <c r="FX24">
        <f>FX26</f>
        <v>0.25</v>
      </c>
      <c r="GL24" t="s">
        <v>54</v>
      </c>
      <c r="GM24">
        <f>GM26</f>
        <v>0.25</v>
      </c>
      <c r="HA24" t="s">
        <v>54</v>
      </c>
      <c r="HB24">
        <f>HB26</f>
        <v>0.25</v>
      </c>
      <c r="HD24" s="304" t="e">
        <f>(HE26*HE33*HE38*HE32*10^-3*HE31*HE27)/(HE30*HE41*(1-EXP(-HE27*HE31)))</f>
        <v>#DIV/0!</v>
      </c>
      <c r="HE24" s="305"/>
      <c r="HF24" s="306" t="s">
        <v>43</v>
      </c>
    </row>
    <row r="25" spans="1:214" ht="14.25" thickTop="1" thickBot="1" x14ac:dyDescent="0.25">
      <c r="A25" t="s">
        <v>419</v>
      </c>
      <c r="B25" s="410">
        <v>0</v>
      </c>
      <c r="D25" t="s">
        <v>226</v>
      </c>
      <c r="E25">
        <v>350</v>
      </c>
      <c r="F25" t="s">
        <v>52</v>
      </c>
      <c r="G25" t="s">
        <v>372</v>
      </c>
      <c r="H25" s="427">
        <f>(H29*H32*H26*H70)+(H30*H33*H27*H71)</f>
        <v>8513.0769230769238</v>
      </c>
      <c r="I25" t="s">
        <v>213</v>
      </c>
      <c r="J25" t="s">
        <v>373</v>
      </c>
      <c r="K25" s="427">
        <f>(K31*K35*K26*K53)+(K32*K34*K27*K54)</f>
        <v>16326.153846153848</v>
      </c>
      <c r="L25" t="s">
        <v>213</v>
      </c>
      <c r="M25" t="s">
        <v>411</v>
      </c>
      <c r="N25" s="1">
        <f>B17</f>
        <v>1.04753425E-2</v>
      </c>
      <c r="O25" t="s">
        <v>119</v>
      </c>
      <c r="P25" t="s">
        <v>411</v>
      </c>
      <c r="Q25" s="1">
        <f>B17</f>
        <v>1.04753425E-2</v>
      </c>
      <c r="R25" t="s">
        <v>119</v>
      </c>
      <c r="V25" s="130" t="s">
        <v>36</v>
      </c>
      <c r="W25" s="96" t="e">
        <f>1/((1/W37)+(1/W38))</f>
        <v>#DIV/0!</v>
      </c>
      <c r="X25" s="128"/>
      <c r="Y25" s="251" t="s">
        <v>36</v>
      </c>
      <c r="Z25" s="129" t="e">
        <f>1/((1/Z39)+(1/Z40))</f>
        <v>#DIV/0!</v>
      </c>
      <c r="AA25" s="97"/>
      <c r="AC25" s="1"/>
      <c r="AD25" s="1"/>
      <c r="AE25" s="1"/>
      <c r="AI25" t="s">
        <v>411</v>
      </c>
      <c r="AJ25" s="1">
        <f>B17</f>
        <v>1.04753425E-2</v>
      </c>
      <c r="AK25" t="s">
        <v>119</v>
      </c>
      <c r="AL25" t="s">
        <v>411</v>
      </c>
      <c r="AM25" s="1">
        <f>B17</f>
        <v>1.04753425E-2</v>
      </c>
      <c r="AN25" t="s">
        <v>119</v>
      </c>
      <c r="AR25" t="s">
        <v>411</v>
      </c>
      <c r="AS25" s="1">
        <f>B17</f>
        <v>1.04753425E-2</v>
      </c>
      <c r="AT25" t="s">
        <v>119</v>
      </c>
      <c r="AU25" t="s">
        <v>411</v>
      </c>
      <c r="AV25" s="1">
        <f>B17</f>
        <v>1.04753425E-2</v>
      </c>
      <c r="AW25" t="s">
        <v>119</v>
      </c>
      <c r="BA25" t="s">
        <v>411</v>
      </c>
      <c r="BB25" s="1">
        <f>B17</f>
        <v>1.04753425E-2</v>
      </c>
      <c r="BC25" t="s">
        <v>119</v>
      </c>
      <c r="BD25" t="s">
        <v>411</v>
      </c>
      <c r="BE25" s="1">
        <f>B17</f>
        <v>1.04753425E-2</v>
      </c>
      <c r="BF25" t="s">
        <v>119</v>
      </c>
      <c r="BJ25" t="s">
        <v>411</v>
      </c>
      <c r="BK25" s="1">
        <f>B17</f>
        <v>1.04753425E-2</v>
      </c>
      <c r="BL25" t="s">
        <v>119</v>
      </c>
      <c r="BM25" t="s">
        <v>411</v>
      </c>
      <c r="BN25" s="1">
        <f>B17</f>
        <v>1.04753425E-2</v>
      </c>
      <c r="BO25" t="s">
        <v>119</v>
      </c>
      <c r="BS25" t="s">
        <v>225</v>
      </c>
      <c r="BT25">
        <v>75</v>
      </c>
      <c r="BU25" t="s">
        <v>52</v>
      </c>
      <c r="BV25" t="s">
        <v>400</v>
      </c>
      <c r="BW25">
        <v>1</v>
      </c>
      <c r="BX25" t="s">
        <v>80</v>
      </c>
      <c r="BY25" t="s">
        <v>99</v>
      </c>
      <c r="BZ25">
        <v>1</v>
      </c>
      <c r="CA25" t="s">
        <v>119</v>
      </c>
      <c r="CB25" t="s">
        <v>65</v>
      </c>
      <c r="CC25">
        <v>1</v>
      </c>
      <c r="CD25" t="s">
        <v>59</v>
      </c>
      <c r="CE25" t="s">
        <v>65</v>
      </c>
      <c r="CF25">
        <v>1</v>
      </c>
      <c r="CG25" t="s">
        <v>59</v>
      </c>
      <c r="CN25" t="s">
        <v>309</v>
      </c>
      <c r="CO25" s="17">
        <v>1</v>
      </c>
      <c r="CP25" t="s">
        <v>431</v>
      </c>
      <c r="CT25" t="s">
        <v>82</v>
      </c>
      <c r="CU25" s="428">
        <f>(CU27*CU31*CU35*CU49)+(CU28*CU32*CU34*CU50)</f>
        <v>40250</v>
      </c>
      <c r="CV25" t="s">
        <v>406</v>
      </c>
      <c r="CW25" t="s">
        <v>226</v>
      </c>
      <c r="CX25">
        <v>350</v>
      </c>
      <c r="CY25" t="s">
        <v>52</v>
      </c>
      <c r="CZ25" t="s">
        <v>77</v>
      </c>
      <c r="DA25" s="427">
        <f>(DA35*DA37*DA29*(DA40/24)*DA51)+(DA36*DA38*DA30*(DA41/24)*DA52)</f>
        <v>6475</v>
      </c>
      <c r="DB25" t="s">
        <v>407</v>
      </c>
      <c r="DO25" t="s">
        <v>63</v>
      </c>
      <c r="DP25">
        <f>B28</f>
        <v>0</v>
      </c>
      <c r="ED25" t="s">
        <v>64</v>
      </c>
      <c r="EE25">
        <f>B29</f>
        <v>0</v>
      </c>
      <c r="ES25" t="s">
        <v>64</v>
      </c>
      <c r="ET25">
        <f>B29</f>
        <v>0</v>
      </c>
      <c r="FH25" t="s">
        <v>64</v>
      </c>
      <c r="FI25">
        <v>5.0000000000000001E-3</v>
      </c>
      <c r="FW25" t="s">
        <v>64</v>
      </c>
      <c r="FX25">
        <v>0.2</v>
      </c>
      <c r="GL25" t="s">
        <v>64</v>
      </c>
      <c r="GM25">
        <v>5.0000000000000001E-3</v>
      </c>
      <c r="HA25" t="s">
        <v>64</v>
      </c>
      <c r="HB25">
        <v>5.0000000000000001E-3</v>
      </c>
      <c r="HD25" s="2" t="s">
        <v>48</v>
      </c>
      <c r="HE25" s="1">
        <v>15</v>
      </c>
      <c r="HF25" t="s">
        <v>24</v>
      </c>
    </row>
    <row r="26" spans="1:214" ht="13.5" thickTop="1" x14ac:dyDescent="0.2">
      <c r="A26" t="s">
        <v>319</v>
      </c>
      <c r="B26" s="410">
        <v>0</v>
      </c>
      <c r="D26" t="s">
        <v>435</v>
      </c>
      <c r="E26" s="1">
        <f>B47</f>
        <v>0.23076923076923078</v>
      </c>
      <c r="G26" t="s">
        <v>370</v>
      </c>
      <c r="H26" s="1">
        <f>B42</f>
        <v>10.4</v>
      </c>
      <c r="I26" t="s">
        <v>380</v>
      </c>
      <c r="J26" t="s">
        <v>374</v>
      </c>
      <c r="K26" s="1">
        <f>B40</f>
        <v>14.8</v>
      </c>
      <c r="L26" t="s">
        <v>380</v>
      </c>
      <c r="M26" t="s">
        <v>51</v>
      </c>
      <c r="N26">
        <v>350</v>
      </c>
      <c r="O26" t="s">
        <v>60</v>
      </c>
      <c r="P26" t="s">
        <v>51</v>
      </c>
      <c r="Q26">
        <v>350</v>
      </c>
      <c r="R26" t="s">
        <v>60</v>
      </c>
      <c r="V26" t="s">
        <v>458</v>
      </c>
      <c r="W26" s="1">
        <v>1</v>
      </c>
      <c r="X26" t="s">
        <v>459</v>
      </c>
      <c r="Y26" t="s">
        <v>458</v>
      </c>
      <c r="Z26" s="1">
        <v>1</v>
      </c>
      <c r="AA26" t="s">
        <v>459</v>
      </c>
      <c r="AC26" s="1"/>
      <c r="AD26" s="1"/>
      <c r="AE26" s="1"/>
      <c r="AI26" t="s">
        <v>51</v>
      </c>
      <c r="AJ26">
        <v>250</v>
      </c>
      <c r="AK26" t="s">
        <v>60</v>
      </c>
      <c r="AL26" t="s">
        <v>51</v>
      </c>
      <c r="AM26">
        <v>250</v>
      </c>
      <c r="AN26" t="s">
        <v>60</v>
      </c>
      <c r="AR26" t="s">
        <v>51</v>
      </c>
      <c r="AS26">
        <v>225</v>
      </c>
      <c r="AT26" t="s">
        <v>60</v>
      </c>
      <c r="AU26" t="s">
        <v>51</v>
      </c>
      <c r="AV26">
        <v>225</v>
      </c>
      <c r="AW26" t="s">
        <v>60</v>
      </c>
      <c r="BA26" t="s">
        <v>51</v>
      </c>
      <c r="BB26">
        <v>250</v>
      </c>
      <c r="BC26" t="s">
        <v>60</v>
      </c>
      <c r="BD26" t="s">
        <v>51</v>
      </c>
      <c r="BE26">
        <v>250</v>
      </c>
      <c r="BF26" t="s">
        <v>60</v>
      </c>
      <c r="BJ26" t="s">
        <v>51</v>
      </c>
      <c r="BK26">
        <f>BK27*BK28</f>
        <v>250</v>
      </c>
      <c r="BL26" t="s">
        <v>60</v>
      </c>
      <c r="BM26" t="s">
        <v>51</v>
      </c>
      <c r="BN26">
        <f>BN27*BN28</f>
        <v>250</v>
      </c>
      <c r="BO26" t="s">
        <v>60</v>
      </c>
      <c r="BS26" t="s">
        <v>226</v>
      </c>
      <c r="BT26">
        <v>75</v>
      </c>
      <c r="BU26" t="s">
        <v>52</v>
      </c>
      <c r="BV26" t="s">
        <v>151</v>
      </c>
      <c r="BW26">
        <v>1</v>
      </c>
      <c r="BX26" t="s">
        <v>152</v>
      </c>
      <c r="BY26" t="s">
        <v>98</v>
      </c>
      <c r="BZ26">
        <v>1</v>
      </c>
      <c r="CA26" t="s">
        <v>119</v>
      </c>
      <c r="CB26" t="s">
        <v>463</v>
      </c>
      <c r="CC26">
        <v>2.2499999999999999E-2</v>
      </c>
      <c r="CE26" t="s">
        <v>463</v>
      </c>
      <c r="CF26">
        <v>4.2700000000000002E-2</v>
      </c>
      <c r="CN26" t="s">
        <v>312</v>
      </c>
      <c r="CO26" s="17">
        <v>1</v>
      </c>
      <c r="CP26" t="s">
        <v>431</v>
      </c>
      <c r="CT26" t="s">
        <v>77</v>
      </c>
      <c r="CU26" s="428">
        <f>((CU35*CU31*CU29*CU49)+(CU34*CU32*CU30*CU50))</f>
        <v>6475</v>
      </c>
      <c r="CV26" t="s">
        <v>407</v>
      </c>
      <c r="CW26" t="s">
        <v>433</v>
      </c>
      <c r="CX26" s="1">
        <f>B49</f>
        <v>0.15</v>
      </c>
      <c r="CZ26" t="s">
        <v>240</v>
      </c>
      <c r="DA26" s="427">
        <f>(DA35*DA37*DA42*DA44*DA51)+(DA36*DA38*DA43*DA45*DA52)</f>
        <v>239.57499999999999</v>
      </c>
      <c r="DB26" t="s">
        <v>408</v>
      </c>
      <c r="DF26" t="s">
        <v>64</v>
      </c>
      <c r="DG26">
        <f>B29</f>
        <v>0</v>
      </c>
      <c r="DO26" t="s">
        <v>70</v>
      </c>
      <c r="DP26">
        <v>0.26</v>
      </c>
      <c r="ED26" t="s">
        <v>70</v>
      </c>
      <c r="EE26">
        <v>0.25</v>
      </c>
      <c r="EJ26" t="s">
        <v>64</v>
      </c>
      <c r="EK26">
        <v>0.04</v>
      </c>
      <c r="ES26" t="s">
        <v>70</v>
      </c>
      <c r="ET26">
        <v>0.25</v>
      </c>
      <c r="FH26" t="s">
        <v>290</v>
      </c>
      <c r="FI26">
        <v>0.25</v>
      </c>
      <c r="FW26" t="s">
        <v>285</v>
      </c>
      <c r="FX26">
        <v>0.25</v>
      </c>
      <c r="GL26" t="s">
        <v>279</v>
      </c>
      <c r="GM26">
        <v>0.25</v>
      </c>
      <c r="HA26" t="s">
        <v>284</v>
      </c>
      <c r="HB26">
        <v>0.25</v>
      </c>
      <c r="HD26" t="s">
        <v>456</v>
      </c>
      <c r="HE26" s="1" t="e">
        <f>H3</f>
        <v>#DIV/0!</v>
      </c>
      <c r="HF26" t="s">
        <v>24</v>
      </c>
    </row>
    <row r="27" spans="1:214" ht="12.75" customHeight="1" x14ac:dyDescent="0.2">
      <c r="A27" t="s">
        <v>420</v>
      </c>
      <c r="B27" s="410">
        <v>0</v>
      </c>
      <c r="D27" t="s">
        <v>434</v>
      </c>
      <c r="E27" s="1">
        <f>B48</f>
        <v>0.76923076923076927</v>
      </c>
      <c r="G27" t="s">
        <v>371</v>
      </c>
      <c r="H27" s="1">
        <f>B43</f>
        <v>28.5</v>
      </c>
      <c r="I27" t="s">
        <v>380</v>
      </c>
      <c r="J27" t="s">
        <v>375</v>
      </c>
      <c r="K27" s="1">
        <f>B41</f>
        <v>56.2</v>
      </c>
      <c r="L27" t="s">
        <v>380</v>
      </c>
      <c r="M27" t="s">
        <v>65</v>
      </c>
      <c r="N27">
        <v>1</v>
      </c>
      <c r="O27" t="s">
        <v>59</v>
      </c>
      <c r="P27" t="s">
        <v>65</v>
      </c>
      <c r="Q27">
        <v>1</v>
      </c>
      <c r="R27" t="s">
        <v>59</v>
      </c>
      <c r="V27" t="s">
        <v>49</v>
      </c>
      <c r="W27" s="1">
        <f>0.693/W28</f>
        <v>66.155354824913829</v>
      </c>
      <c r="Y27" t="s">
        <v>49</v>
      </c>
      <c r="Z27" s="1">
        <f>0.693/Z28</f>
        <v>66.155354824913829</v>
      </c>
      <c r="AB27" t="s">
        <v>65</v>
      </c>
      <c r="AC27">
        <v>25</v>
      </c>
      <c r="AD27">
        <v>25</v>
      </c>
      <c r="AE27">
        <v>25</v>
      </c>
      <c r="AF27">
        <v>1</v>
      </c>
      <c r="AG27">
        <v>1</v>
      </c>
      <c r="AH27" t="s">
        <v>119</v>
      </c>
      <c r="AI27" t="s">
        <v>65</v>
      </c>
      <c r="AJ27">
        <v>1</v>
      </c>
      <c r="AK27" t="s">
        <v>59</v>
      </c>
      <c r="AL27" t="s">
        <v>65</v>
      </c>
      <c r="AM27">
        <v>1</v>
      </c>
      <c r="AN27" t="s">
        <v>59</v>
      </c>
      <c r="AR27" t="s">
        <v>65</v>
      </c>
      <c r="AS27">
        <v>1</v>
      </c>
      <c r="AT27" t="s">
        <v>59</v>
      </c>
      <c r="AU27" t="s">
        <v>65</v>
      </c>
      <c r="AV27">
        <v>1</v>
      </c>
      <c r="AW27" t="s">
        <v>59</v>
      </c>
      <c r="BA27" t="s">
        <v>65</v>
      </c>
      <c r="BB27">
        <v>1</v>
      </c>
      <c r="BC27" t="s">
        <v>59</v>
      </c>
      <c r="BD27" t="s">
        <v>65</v>
      </c>
      <c r="BE27">
        <v>1</v>
      </c>
      <c r="BF27" t="s">
        <v>59</v>
      </c>
      <c r="BJ27" t="s">
        <v>378</v>
      </c>
      <c r="BK27">
        <v>50</v>
      </c>
      <c r="BL27" t="s">
        <v>389</v>
      </c>
      <c r="BM27" t="s">
        <v>378</v>
      </c>
      <c r="BN27">
        <v>50</v>
      </c>
      <c r="BO27" t="s">
        <v>389</v>
      </c>
      <c r="BS27" t="s">
        <v>221</v>
      </c>
      <c r="BT27">
        <v>75</v>
      </c>
      <c r="BU27" t="s">
        <v>52</v>
      </c>
      <c r="BV27" t="s">
        <v>153</v>
      </c>
      <c r="BW27">
        <v>1</v>
      </c>
      <c r="BX27" t="s">
        <v>152</v>
      </c>
      <c r="BY27" t="s">
        <v>83</v>
      </c>
      <c r="BZ27">
        <v>1</v>
      </c>
      <c r="CA27" t="s">
        <v>119</v>
      </c>
      <c r="CB27" t="s">
        <v>105</v>
      </c>
      <c r="CC27">
        <v>0.46300000000000002</v>
      </c>
      <c r="CE27" t="s">
        <v>105</v>
      </c>
      <c r="CF27">
        <v>0.72299999999999998</v>
      </c>
      <c r="CN27" t="s">
        <v>313</v>
      </c>
      <c r="CO27" s="17">
        <v>1</v>
      </c>
      <c r="CP27" t="s">
        <v>75</v>
      </c>
      <c r="CT27" t="s">
        <v>108</v>
      </c>
      <c r="CU27">
        <f>B36</f>
        <v>200</v>
      </c>
      <c r="CV27" t="s">
        <v>90</v>
      </c>
      <c r="CW27" t="s">
        <v>432</v>
      </c>
      <c r="CX27" s="1">
        <f>B50</f>
        <v>0.85</v>
      </c>
      <c r="CZ27" t="s">
        <v>97</v>
      </c>
      <c r="DA27">
        <f>B38</f>
        <v>0.78</v>
      </c>
      <c r="DB27" t="s">
        <v>56</v>
      </c>
      <c r="EB27" s="1"/>
      <c r="ED27" t="s">
        <v>317</v>
      </c>
      <c r="EE27" s="1">
        <f>B23</f>
        <v>0</v>
      </c>
      <c r="EQ27" s="1"/>
      <c r="ES27" t="s">
        <v>318</v>
      </c>
      <c r="ET27" s="1">
        <f>B24</f>
        <v>0</v>
      </c>
      <c r="FH27" t="s">
        <v>319</v>
      </c>
      <c r="FI27" s="406">
        <f>B26</f>
        <v>0</v>
      </c>
      <c r="FW27" t="s">
        <v>320</v>
      </c>
      <c r="FX27" s="17">
        <v>1</v>
      </c>
      <c r="GL27" t="s">
        <v>321</v>
      </c>
      <c r="GM27" s="406">
        <f>B25</f>
        <v>0</v>
      </c>
      <c r="HA27" t="s">
        <v>322</v>
      </c>
      <c r="HB27" s="406">
        <f>B27</f>
        <v>0</v>
      </c>
      <c r="HD27" t="s">
        <v>49</v>
      </c>
      <c r="HE27" s="1">
        <f>0.693/HE28</f>
        <v>66.155354824913829</v>
      </c>
    </row>
    <row r="28" spans="1:214" ht="15" thickBot="1" x14ac:dyDescent="0.25">
      <c r="A28" t="s">
        <v>396</v>
      </c>
      <c r="B28" s="410">
        <f>B24</f>
        <v>0</v>
      </c>
      <c r="G28" t="s">
        <v>131</v>
      </c>
      <c r="H28">
        <v>0.5</v>
      </c>
      <c r="I28" t="s">
        <v>132</v>
      </c>
      <c r="J28" t="s">
        <v>372</v>
      </c>
      <c r="K28" s="427">
        <f>(K31*K35*K29*K53)+(K32*K34*K30*K54)</f>
        <v>8513.0769230769238</v>
      </c>
      <c r="L28" t="s">
        <v>213</v>
      </c>
      <c r="M28" t="s">
        <v>462</v>
      </c>
      <c r="N28">
        <v>0.4</v>
      </c>
      <c r="P28" t="s">
        <v>462</v>
      </c>
      <c r="Q28">
        <v>0.4</v>
      </c>
      <c r="V28" t="s">
        <v>411</v>
      </c>
      <c r="W28" s="1">
        <f>B17</f>
        <v>1.04753425E-2</v>
      </c>
      <c r="X28" t="s">
        <v>119</v>
      </c>
      <c r="Y28" t="s">
        <v>411</v>
      </c>
      <c r="Z28" s="1">
        <f>B17</f>
        <v>1.04753425E-2</v>
      </c>
      <c r="AA28" t="s">
        <v>119</v>
      </c>
      <c r="AB28" t="s">
        <v>155</v>
      </c>
      <c r="AC28" s="1">
        <f t="shared" ref="AC28:AF29" si="0">8/24</f>
        <v>0.33333333333333331</v>
      </c>
      <c r="AD28" s="1">
        <f t="shared" si="0"/>
        <v>0.33333333333333331</v>
      </c>
      <c r="AE28" s="1">
        <f t="shared" si="0"/>
        <v>0.33333333333333331</v>
      </c>
      <c r="AF28" s="1">
        <f t="shared" si="0"/>
        <v>0.33333333333333331</v>
      </c>
      <c r="AG28" s="1">
        <f>8/24</f>
        <v>0.33333333333333331</v>
      </c>
      <c r="AI28" t="s">
        <v>462</v>
      </c>
      <c r="AJ28">
        <v>0.4</v>
      </c>
      <c r="AL28" t="s">
        <v>462</v>
      </c>
      <c r="AM28">
        <v>0.4</v>
      </c>
      <c r="AR28" t="s">
        <v>462</v>
      </c>
      <c r="AS28">
        <v>0.4</v>
      </c>
      <c r="BA28" t="s">
        <v>462</v>
      </c>
      <c r="BB28">
        <v>0.4</v>
      </c>
      <c r="BJ28" t="s">
        <v>377</v>
      </c>
      <c r="BK28">
        <v>5</v>
      </c>
      <c r="BL28" t="s">
        <v>390</v>
      </c>
      <c r="BM28" t="s">
        <v>377</v>
      </c>
      <c r="BN28">
        <v>5</v>
      </c>
      <c r="BO28" t="s">
        <v>390</v>
      </c>
      <c r="BS28" t="s">
        <v>174</v>
      </c>
      <c r="BT28">
        <v>26</v>
      </c>
      <c r="BU28" t="s">
        <v>119</v>
      </c>
      <c r="BW28">
        <f>1/1000</f>
        <v>1E-3</v>
      </c>
      <c r="BX28" t="s">
        <v>154</v>
      </c>
      <c r="BY28" t="s">
        <v>166</v>
      </c>
      <c r="BZ28">
        <v>1</v>
      </c>
      <c r="CA28" t="s">
        <v>80</v>
      </c>
      <c r="CB28" t="s">
        <v>166</v>
      </c>
      <c r="CC28">
        <v>1</v>
      </c>
      <c r="CD28" t="s">
        <v>117</v>
      </c>
      <c r="CE28" t="s">
        <v>166</v>
      </c>
      <c r="CF28">
        <v>1</v>
      </c>
      <c r="CG28" t="s">
        <v>117</v>
      </c>
      <c r="CN28" t="s">
        <v>314</v>
      </c>
      <c r="CO28" s="17">
        <v>1</v>
      </c>
      <c r="CP28" t="s">
        <v>75</v>
      </c>
      <c r="CT28" t="s">
        <v>127</v>
      </c>
      <c r="CU28">
        <f>B37</f>
        <v>100</v>
      </c>
      <c r="CV28" t="s">
        <v>90</v>
      </c>
      <c r="CZ28" t="s">
        <v>123</v>
      </c>
      <c r="DA28">
        <f>B39</f>
        <v>2.5</v>
      </c>
      <c r="DB28" t="s">
        <v>56</v>
      </c>
      <c r="FW28" t="s">
        <v>186</v>
      </c>
      <c r="FX28" s="1">
        <v>30</v>
      </c>
      <c r="HD28" t="s">
        <v>411</v>
      </c>
      <c r="HE28" s="1">
        <f>B17</f>
        <v>1.04753425E-2</v>
      </c>
      <c r="HF28" t="s">
        <v>119</v>
      </c>
    </row>
    <row r="29" spans="1:214" ht="15.75" thickTop="1" x14ac:dyDescent="0.2">
      <c r="A29" t="s">
        <v>395</v>
      </c>
      <c r="B29" s="410">
        <f>B25</f>
        <v>0</v>
      </c>
      <c r="D29" s="103" t="s">
        <v>3</v>
      </c>
      <c r="E29" s="104"/>
      <c r="F29" s="105" t="s">
        <v>423</v>
      </c>
      <c r="G29" t="s">
        <v>67</v>
      </c>
      <c r="H29">
        <v>350</v>
      </c>
      <c r="I29" t="s">
        <v>52</v>
      </c>
      <c r="J29" t="s">
        <v>370</v>
      </c>
      <c r="K29" s="1">
        <f>B42</f>
        <v>10.4</v>
      </c>
      <c r="L29" t="s">
        <v>380</v>
      </c>
      <c r="M29" t="s">
        <v>463</v>
      </c>
      <c r="N29">
        <v>1</v>
      </c>
      <c r="P29" t="s">
        <v>463</v>
      </c>
      <c r="Q29">
        <v>1</v>
      </c>
      <c r="V29" t="s">
        <v>51</v>
      </c>
      <c r="W29">
        <v>250</v>
      </c>
      <c r="X29" t="s">
        <v>60</v>
      </c>
      <c r="Y29" t="s">
        <v>51</v>
      </c>
      <c r="Z29">
        <f>Z41*Z42</f>
        <v>250</v>
      </c>
      <c r="AA29" t="s">
        <v>60</v>
      </c>
      <c r="AB29" t="s">
        <v>158</v>
      </c>
      <c r="AC29" s="1">
        <f t="shared" si="0"/>
        <v>0.33333333333333331</v>
      </c>
      <c r="AD29" s="1">
        <f t="shared" si="0"/>
        <v>0.33333333333333331</v>
      </c>
      <c r="AE29" s="1">
        <f t="shared" si="0"/>
        <v>0.33333333333333331</v>
      </c>
      <c r="AF29" s="1">
        <f t="shared" si="0"/>
        <v>0.33333333333333331</v>
      </c>
      <c r="AG29" s="1">
        <f>8/24</f>
        <v>0.33333333333333331</v>
      </c>
      <c r="AI29" t="s">
        <v>463</v>
      </c>
      <c r="AJ29">
        <v>1</v>
      </c>
      <c r="AL29" t="s">
        <v>463</v>
      </c>
      <c r="AM29">
        <v>1</v>
      </c>
      <c r="AR29" t="s">
        <v>463</v>
      </c>
      <c r="AS29">
        <v>1</v>
      </c>
      <c r="AU29" t="s">
        <v>462</v>
      </c>
      <c r="AV29">
        <v>1</v>
      </c>
      <c r="BA29" t="s">
        <v>463</v>
      </c>
      <c r="BB29">
        <v>1</v>
      </c>
      <c r="BD29" t="s">
        <v>463</v>
      </c>
      <c r="BE29">
        <v>1</v>
      </c>
      <c r="BJ29" t="s">
        <v>65</v>
      </c>
      <c r="BK29">
        <v>1</v>
      </c>
      <c r="BL29" t="s">
        <v>59</v>
      </c>
      <c r="BM29" t="s">
        <v>65</v>
      </c>
      <c r="BN29">
        <v>1</v>
      </c>
      <c r="BO29" t="s">
        <v>59</v>
      </c>
      <c r="BS29" t="s">
        <v>473</v>
      </c>
      <c r="BT29">
        <f>BT14/BT16</f>
        <v>1</v>
      </c>
      <c r="BU29" s="2"/>
      <c r="BW29">
        <v>1000</v>
      </c>
      <c r="BX29" t="s">
        <v>157</v>
      </c>
      <c r="BY29" t="s">
        <v>238</v>
      </c>
      <c r="BZ29">
        <v>1</v>
      </c>
      <c r="CA29" t="s">
        <v>80</v>
      </c>
      <c r="CB29" t="s">
        <v>460</v>
      </c>
      <c r="CC29" s="1">
        <f>B10</f>
        <v>1.96</v>
      </c>
      <c r="CD29" t="s">
        <v>121</v>
      </c>
      <c r="CE29" t="s">
        <v>460</v>
      </c>
      <c r="CF29" s="1">
        <f>B12</f>
        <v>5.58</v>
      </c>
      <c r="CG29" t="s">
        <v>121</v>
      </c>
      <c r="CT29" t="s">
        <v>223</v>
      </c>
      <c r="CU29">
        <f>B33</f>
        <v>10</v>
      </c>
      <c r="CV29" t="s">
        <v>78</v>
      </c>
      <c r="CZ29" t="s">
        <v>223</v>
      </c>
      <c r="DA29">
        <f>B33</f>
        <v>10</v>
      </c>
      <c r="DB29" t="s">
        <v>241</v>
      </c>
      <c r="FW29" t="s">
        <v>296</v>
      </c>
      <c r="FX29" s="1">
        <v>8.1999999999999993</v>
      </c>
      <c r="HD29" t="s">
        <v>156</v>
      </c>
      <c r="HE29">
        <v>0.3</v>
      </c>
    </row>
    <row r="30" spans="1:214" ht="15" x14ac:dyDescent="0.2">
      <c r="A30" t="s">
        <v>63</v>
      </c>
      <c r="B30" s="410">
        <v>0</v>
      </c>
      <c r="D30" s="106" t="s">
        <v>150</v>
      </c>
      <c r="E30" s="107" t="s">
        <v>456</v>
      </c>
      <c r="F30" s="108" t="s">
        <v>22</v>
      </c>
      <c r="G30" t="s">
        <v>73</v>
      </c>
      <c r="H30">
        <v>350</v>
      </c>
      <c r="I30" t="s">
        <v>52</v>
      </c>
      <c r="J30" t="s">
        <v>371</v>
      </c>
      <c r="K30" s="1">
        <f>B43</f>
        <v>28.5</v>
      </c>
      <c r="L30" t="s">
        <v>380</v>
      </c>
      <c r="M30" t="s">
        <v>105</v>
      </c>
      <c r="N30">
        <v>1</v>
      </c>
      <c r="P30" t="s">
        <v>105</v>
      </c>
      <c r="Q30">
        <v>1</v>
      </c>
      <c r="V30" t="s">
        <v>65</v>
      </c>
      <c r="W30">
        <v>1</v>
      </c>
      <c r="X30" t="s">
        <v>59</v>
      </c>
      <c r="Y30" t="s">
        <v>65</v>
      </c>
      <c r="Z30">
        <v>1</v>
      </c>
      <c r="AA30" t="s">
        <v>59</v>
      </c>
      <c r="AB30" t="s">
        <v>161</v>
      </c>
      <c r="AC30">
        <v>0.4</v>
      </c>
      <c r="AD30">
        <v>0.4</v>
      </c>
      <c r="AE30">
        <v>0.4</v>
      </c>
      <c r="AF30">
        <v>0.4</v>
      </c>
      <c r="AG30">
        <v>0.4</v>
      </c>
      <c r="AI30" t="s">
        <v>105</v>
      </c>
      <c r="AJ30">
        <f>N30</f>
        <v>1</v>
      </c>
      <c r="AL30" t="s">
        <v>105</v>
      </c>
      <c r="AM30">
        <f>Q30</f>
        <v>1</v>
      </c>
      <c r="AR30" t="s">
        <v>105</v>
      </c>
      <c r="AS30">
        <f>AJ30</f>
        <v>1</v>
      </c>
      <c r="AU30" t="s">
        <v>105</v>
      </c>
      <c r="AV30">
        <f>AM30</f>
        <v>1</v>
      </c>
      <c r="BA30" t="s">
        <v>105</v>
      </c>
      <c r="BB30">
        <f>AS30</f>
        <v>1</v>
      </c>
      <c r="BD30" t="s">
        <v>105</v>
      </c>
      <c r="BE30">
        <f>AV30</f>
        <v>1</v>
      </c>
      <c r="BS30" t="s">
        <v>474</v>
      </c>
      <c r="BT30">
        <f>BT15/BT16</f>
        <v>1</v>
      </c>
      <c r="BW30">
        <v>1000</v>
      </c>
      <c r="BX30" t="s">
        <v>376</v>
      </c>
      <c r="BY30" t="s">
        <v>239</v>
      </c>
      <c r="BZ30">
        <v>1</v>
      </c>
      <c r="CA30" t="s">
        <v>80</v>
      </c>
      <c r="CT30" t="s">
        <v>224</v>
      </c>
      <c r="CU30">
        <f>B34</f>
        <v>20</v>
      </c>
      <c r="CV30" t="s">
        <v>78</v>
      </c>
      <c r="CZ30" t="s">
        <v>224</v>
      </c>
      <c r="DA30">
        <f>B34</f>
        <v>20</v>
      </c>
      <c r="DB30" t="s">
        <v>241</v>
      </c>
      <c r="FX30">
        <v>1000</v>
      </c>
      <c r="FY30" t="s">
        <v>213</v>
      </c>
      <c r="HD30" t="s">
        <v>159</v>
      </c>
      <c r="HE30" s="1">
        <v>1.5</v>
      </c>
    </row>
    <row r="31" spans="1:214" x14ac:dyDescent="0.2">
      <c r="A31" t="s">
        <v>64</v>
      </c>
      <c r="B31" s="410">
        <v>0</v>
      </c>
      <c r="D31" s="106" t="s">
        <v>150</v>
      </c>
      <c r="E31" s="109" t="e">
        <f>E38</f>
        <v>#DIV/0!</v>
      </c>
      <c r="F31" s="110"/>
      <c r="G31" t="s">
        <v>100</v>
      </c>
      <c r="H31">
        <v>1</v>
      </c>
      <c r="I31" t="s">
        <v>119</v>
      </c>
      <c r="J31" t="s">
        <v>67</v>
      </c>
      <c r="K31">
        <v>350</v>
      </c>
      <c r="L31" t="s">
        <v>52</v>
      </c>
      <c r="M31" t="s">
        <v>114</v>
      </c>
      <c r="N31">
        <v>7.2999999999999995E-2</v>
      </c>
      <c r="O31" t="s">
        <v>115</v>
      </c>
      <c r="P31" t="s">
        <v>114</v>
      </c>
      <c r="Q31">
        <v>7.2999999999999995E-2</v>
      </c>
      <c r="R31" t="s">
        <v>115</v>
      </c>
      <c r="V31" t="s">
        <v>436</v>
      </c>
      <c r="W31" s="1">
        <f>B5</f>
        <v>0</v>
      </c>
      <c r="X31" t="s">
        <v>72</v>
      </c>
      <c r="Y31" t="s">
        <v>436</v>
      </c>
      <c r="Z31" s="1">
        <f>B5</f>
        <v>0</v>
      </c>
      <c r="AA31" t="s">
        <v>72</v>
      </c>
      <c r="AB31" t="s">
        <v>144</v>
      </c>
      <c r="AC31">
        <v>25</v>
      </c>
      <c r="AD31">
        <v>25</v>
      </c>
      <c r="AE31">
        <v>25</v>
      </c>
      <c r="AF31">
        <v>1</v>
      </c>
      <c r="AG31">
        <v>1</v>
      </c>
      <c r="AH31" t="s">
        <v>88</v>
      </c>
      <c r="AI31" t="s">
        <v>114</v>
      </c>
      <c r="AJ31">
        <v>0</v>
      </c>
      <c r="AK31" t="s">
        <v>115</v>
      </c>
      <c r="AL31" t="s">
        <v>114</v>
      </c>
      <c r="AM31">
        <v>0</v>
      </c>
      <c r="AN31" t="s">
        <v>115</v>
      </c>
      <c r="AR31" t="s">
        <v>116</v>
      </c>
      <c r="AS31">
        <f>8/24</f>
        <v>0.33333333333333331</v>
      </c>
      <c r="AT31" t="s">
        <v>117</v>
      </c>
      <c r="AU31" t="s">
        <v>114</v>
      </c>
      <c r="AV31">
        <f>8/24</f>
        <v>0.33333333333333331</v>
      </c>
      <c r="AW31" t="s">
        <v>115</v>
      </c>
      <c r="BA31" t="s">
        <v>116</v>
      </c>
      <c r="BB31">
        <f>8/24</f>
        <v>0.33333333333333331</v>
      </c>
      <c r="BC31" t="s">
        <v>117</v>
      </c>
      <c r="BD31" t="s">
        <v>114</v>
      </c>
      <c r="BE31">
        <f>8/24</f>
        <v>0.33333333333333331</v>
      </c>
      <c r="BF31" t="s">
        <v>115</v>
      </c>
      <c r="BJ31" t="s">
        <v>463</v>
      </c>
      <c r="BK31">
        <v>1.5699999999999999E-5</v>
      </c>
      <c r="BM31" t="s">
        <v>463</v>
      </c>
      <c r="BN31">
        <v>1.35E-4</v>
      </c>
      <c r="BW31">
        <v>365</v>
      </c>
      <c r="BX31" t="s">
        <v>52</v>
      </c>
      <c r="BY31" t="s">
        <v>465</v>
      </c>
      <c r="BZ31" s="1">
        <v>2.41E-4</v>
      </c>
      <c r="CT31" t="s">
        <v>67</v>
      </c>
      <c r="CU31">
        <v>350</v>
      </c>
      <c r="CV31" t="s">
        <v>52</v>
      </c>
      <c r="CZ31" t="s">
        <v>242</v>
      </c>
      <c r="DA31" s="1">
        <f>B40</f>
        <v>14.8</v>
      </c>
      <c r="DB31" t="s">
        <v>380</v>
      </c>
      <c r="HD31" t="s">
        <v>58</v>
      </c>
      <c r="HE31">
        <v>26</v>
      </c>
    </row>
    <row r="32" spans="1:214" ht="13.5" thickBot="1" x14ac:dyDescent="0.25">
      <c r="D32" s="111"/>
      <c r="E32" s="112" t="s">
        <v>33</v>
      </c>
      <c r="F32" s="113"/>
      <c r="G32" t="s">
        <v>83</v>
      </c>
      <c r="H32">
        <v>1</v>
      </c>
      <c r="J32" t="s">
        <v>73</v>
      </c>
      <c r="K32">
        <v>350</v>
      </c>
      <c r="L32" t="s">
        <v>52</v>
      </c>
      <c r="M32" t="s">
        <v>460</v>
      </c>
      <c r="N32" s="1">
        <f>B11</f>
        <v>1.94</v>
      </c>
      <c r="O32" t="s">
        <v>430</v>
      </c>
      <c r="P32" t="s">
        <v>460</v>
      </c>
      <c r="Q32" s="1">
        <f>B13</f>
        <v>8.91</v>
      </c>
      <c r="R32" t="s">
        <v>121</v>
      </c>
      <c r="V32" t="s">
        <v>79</v>
      </c>
      <c r="W32">
        <v>8</v>
      </c>
      <c r="X32" t="s">
        <v>80</v>
      </c>
      <c r="Y32" t="s">
        <v>79</v>
      </c>
      <c r="Z32">
        <v>8</v>
      </c>
      <c r="AA32" t="s">
        <v>80</v>
      </c>
      <c r="AB32" t="s">
        <v>49</v>
      </c>
      <c r="AC32" s="1">
        <f>0.693/AC33</f>
        <v>66.155354824913829</v>
      </c>
      <c r="AD32" s="1">
        <f>0.693/AD33</f>
        <v>66.155354824913829</v>
      </c>
      <c r="AE32" s="1">
        <f>0.693/AE33</f>
        <v>66.155354824913829</v>
      </c>
      <c r="AF32" s="1">
        <f>0.693/AF33</f>
        <v>66.155354824913829</v>
      </c>
      <c r="AG32" s="1">
        <f>0.693/AG33</f>
        <v>66.155354824913829</v>
      </c>
      <c r="AI32" t="s">
        <v>460</v>
      </c>
      <c r="AJ32" s="1">
        <f>B10</f>
        <v>1.96</v>
      </c>
      <c r="AK32" t="s">
        <v>121</v>
      </c>
      <c r="AL32" t="s">
        <v>460</v>
      </c>
      <c r="AM32" s="1">
        <f>B12</f>
        <v>5.58</v>
      </c>
      <c r="AN32" t="s">
        <v>121</v>
      </c>
      <c r="AR32" t="s">
        <v>460</v>
      </c>
      <c r="AS32" s="1">
        <f>B10</f>
        <v>1.96</v>
      </c>
      <c r="AT32" t="s">
        <v>121</v>
      </c>
      <c r="AU32" t="s">
        <v>460</v>
      </c>
      <c r="AV32" s="1">
        <f>B12</f>
        <v>5.58</v>
      </c>
      <c r="AW32" t="s">
        <v>121</v>
      </c>
      <c r="BA32" t="s">
        <v>460</v>
      </c>
      <c r="BB32" s="1">
        <f>B10</f>
        <v>1.96</v>
      </c>
      <c r="BC32" t="s">
        <v>121</v>
      </c>
      <c r="BD32" t="s">
        <v>460</v>
      </c>
      <c r="BE32" s="1">
        <f>B12</f>
        <v>5.58</v>
      </c>
      <c r="BF32" t="s">
        <v>121</v>
      </c>
      <c r="BJ32" t="s">
        <v>105</v>
      </c>
      <c r="BK32">
        <v>0.80900000000000005</v>
      </c>
      <c r="BM32" t="s">
        <v>105</v>
      </c>
      <c r="BN32">
        <v>0.71099999999999997</v>
      </c>
      <c r="BT32" s="1"/>
      <c r="BW32">
        <v>8760</v>
      </c>
      <c r="BX32" t="s">
        <v>237</v>
      </c>
      <c r="BY32" t="s">
        <v>105</v>
      </c>
      <c r="BZ32">
        <v>0.753</v>
      </c>
      <c r="CT32" t="s">
        <v>73</v>
      </c>
      <c r="CU32">
        <v>350</v>
      </c>
      <c r="CV32" t="s">
        <v>52</v>
      </c>
      <c r="CZ32" t="s">
        <v>162</v>
      </c>
      <c r="DA32" s="1">
        <f>B41</f>
        <v>56.2</v>
      </c>
      <c r="DB32" t="s">
        <v>380</v>
      </c>
      <c r="DY32" s="413"/>
      <c r="HD32" t="s">
        <v>65</v>
      </c>
      <c r="HE32" s="1">
        <v>70</v>
      </c>
    </row>
    <row r="33" spans="1:214" ht="13.15" customHeight="1" thickTop="1" x14ac:dyDescent="0.2">
      <c r="A33" t="s">
        <v>87</v>
      </c>
      <c r="B33" s="411">
        <v>10</v>
      </c>
      <c r="C33" t="s">
        <v>78</v>
      </c>
      <c r="D33" t="s">
        <v>485</v>
      </c>
      <c r="E33" s="1">
        <v>1</v>
      </c>
      <c r="G33" t="s">
        <v>98</v>
      </c>
      <c r="H33">
        <v>1</v>
      </c>
      <c r="J33" t="s">
        <v>100</v>
      </c>
      <c r="K33">
        <v>1</v>
      </c>
      <c r="L33" t="s">
        <v>119</v>
      </c>
      <c r="M33" t="s">
        <v>136</v>
      </c>
      <c r="N33">
        <v>0.68300000000000005</v>
      </c>
      <c r="O33" t="s">
        <v>115</v>
      </c>
      <c r="P33" t="s">
        <v>136</v>
      </c>
      <c r="Q33">
        <v>0.68300000000000005</v>
      </c>
      <c r="R33" t="s">
        <v>115</v>
      </c>
      <c r="W33">
        <v>24</v>
      </c>
      <c r="X33" t="s">
        <v>80</v>
      </c>
      <c r="Z33">
        <v>24</v>
      </c>
      <c r="AA33" t="s">
        <v>80</v>
      </c>
      <c r="AB33" t="s">
        <v>411</v>
      </c>
      <c r="AC33" s="1">
        <f>B17</f>
        <v>1.04753425E-2</v>
      </c>
      <c r="AD33" s="1">
        <f>B17</f>
        <v>1.04753425E-2</v>
      </c>
      <c r="AE33" s="1">
        <f>B17</f>
        <v>1.04753425E-2</v>
      </c>
      <c r="AF33" s="1">
        <f>B17</f>
        <v>1.04753425E-2</v>
      </c>
      <c r="AG33" s="1">
        <f>B17</f>
        <v>1.04753425E-2</v>
      </c>
      <c r="AH33" t="s">
        <v>119</v>
      </c>
      <c r="AI33" t="s">
        <v>136</v>
      </c>
      <c r="AJ33">
        <f>8/24</f>
        <v>0.33333333333333331</v>
      </c>
      <c r="AK33" t="s">
        <v>115</v>
      </c>
      <c r="AL33" t="s">
        <v>136</v>
      </c>
      <c r="AM33">
        <f>8/24</f>
        <v>0.33333333333333331</v>
      </c>
      <c r="AN33" t="s">
        <v>115</v>
      </c>
      <c r="AR33" t="s">
        <v>136</v>
      </c>
      <c r="AS33">
        <v>0</v>
      </c>
      <c r="AT33" t="s">
        <v>115</v>
      </c>
      <c r="AU33" t="s">
        <v>136</v>
      </c>
      <c r="AV33">
        <v>0</v>
      </c>
      <c r="AW33" t="s">
        <v>115</v>
      </c>
      <c r="BA33" t="s">
        <v>136</v>
      </c>
      <c r="BB33">
        <v>0</v>
      </c>
      <c r="BC33" t="s">
        <v>115</v>
      </c>
      <c r="BD33" t="s">
        <v>136</v>
      </c>
      <c r="BE33">
        <v>0</v>
      </c>
      <c r="BF33" t="s">
        <v>115</v>
      </c>
      <c r="BJ33" t="s">
        <v>116</v>
      </c>
      <c r="BK33">
        <f>8/24</f>
        <v>0.33333333333333331</v>
      </c>
      <c r="BL33" t="s">
        <v>117</v>
      </c>
      <c r="BM33" t="s">
        <v>114</v>
      </c>
      <c r="BN33">
        <f>8/24</f>
        <v>0.33333333333333331</v>
      </c>
      <c r="BO33" t="s">
        <v>115</v>
      </c>
      <c r="BV33" t="s">
        <v>473</v>
      </c>
      <c r="BW33">
        <f>BW21/BW20</f>
        <v>1</v>
      </c>
      <c r="BY33" t="s">
        <v>174</v>
      </c>
      <c r="BZ33">
        <v>26</v>
      </c>
      <c r="CA33" t="s">
        <v>88</v>
      </c>
      <c r="CT33" t="s">
        <v>229</v>
      </c>
      <c r="CU33">
        <v>1</v>
      </c>
      <c r="CV33" t="s">
        <v>119</v>
      </c>
      <c r="CZ33" t="s">
        <v>243</v>
      </c>
      <c r="DA33" s="1">
        <f>B42</f>
        <v>10.4</v>
      </c>
      <c r="DB33" t="s">
        <v>380</v>
      </c>
      <c r="DY33" s="413"/>
      <c r="HD33" t="s">
        <v>391</v>
      </c>
      <c r="HE33" s="1">
        <f>1+((HE35*HE36*HE37)/(HE38*HE39))</f>
        <v>16.660043458695149</v>
      </c>
    </row>
    <row r="34" spans="1:214" x14ac:dyDescent="0.2">
      <c r="A34" t="s">
        <v>95</v>
      </c>
      <c r="B34" s="411">
        <v>20</v>
      </c>
      <c r="C34" t="s">
        <v>78</v>
      </c>
      <c r="D34" t="s">
        <v>51</v>
      </c>
      <c r="E34">
        <v>350</v>
      </c>
      <c r="F34" t="s">
        <v>52</v>
      </c>
      <c r="G34" t="s">
        <v>163</v>
      </c>
      <c r="H34">
        <v>0.54</v>
      </c>
      <c r="I34" t="s">
        <v>164</v>
      </c>
      <c r="J34" t="s">
        <v>98</v>
      </c>
      <c r="K34">
        <v>1</v>
      </c>
      <c r="L34" t="s">
        <v>119</v>
      </c>
      <c r="V34" t="s">
        <v>96</v>
      </c>
      <c r="W34">
        <f>B35</f>
        <v>60</v>
      </c>
      <c r="X34" t="s">
        <v>78</v>
      </c>
      <c r="Y34" t="s">
        <v>96</v>
      </c>
      <c r="Z34">
        <f>B35</f>
        <v>60</v>
      </c>
      <c r="AA34" t="s">
        <v>78</v>
      </c>
      <c r="AC34">
        <v>365</v>
      </c>
      <c r="AD34">
        <v>365</v>
      </c>
      <c r="AE34">
        <v>365</v>
      </c>
      <c r="AF34">
        <v>365</v>
      </c>
      <c r="AG34">
        <v>365</v>
      </c>
      <c r="AH34" t="s">
        <v>173</v>
      </c>
      <c r="BJ34" t="s">
        <v>460</v>
      </c>
      <c r="BK34" s="1">
        <f>B10</f>
        <v>1.96</v>
      </c>
      <c r="BL34" t="s">
        <v>121</v>
      </c>
      <c r="BM34" t="s">
        <v>460</v>
      </c>
      <c r="BN34" s="1">
        <f>B12</f>
        <v>5.58</v>
      </c>
      <c r="BO34" t="s">
        <v>121</v>
      </c>
      <c r="BV34" t="s">
        <v>474</v>
      </c>
      <c r="BW34">
        <f>BW22/BW20</f>
        <v>1</v>
      </c>
      <c r="BZ34">
        <v>365</v>
      </c>
      <c r="CA34" t="s">
        <v>173</v>
      </c>
      <c r="CH34" s="429" t="s">
        <v>393</v>
      </c>
      <c r="CI34" s="429"/>
      <c r="CJ34" s="429"/>
      <c r="CK34" s="429"/>
      <c r="CL34" s="429"/>
      <c r="CT34" t="s">
        <v>98</v>
      </c>
      <c r="CU34">
        <v>1</v>
      </c>
      <c r="CV34" t="s">
        <v>119</v>
      </c>
      <c r="CZ34" t="s">
        <v>244</v>
      </c>
      <c r="DA34" s="1">
        <f>B43</f>
        <v>28.5</v>
      </c>
      <c r="DB34" t="s">
        <v>380</v>
      </c>
      <c r="DS34" s="1"/>
      <c r="DY34" s="413"/>
      <c r="EH34" s="1"/>
      <c r="HD34" t="s">
        <v>167</v>
      </c>
      <c r="HE34">
        <v>8.1999999999999993</v>
      </c>
    </row>
    <row r="35" spans="1:214" ht="13.15" customHeight="1" x14ac:dyDescent="0.2">
      <c r="A35" t="s">
        <v>96</v>
      </c>
      <c r="B35" s="411">
        <v>60</v>
      </c>
      <c r="C35" t="s">
        <v>78</v>
      </c>
      <c r="D35" t="s">
        <v>447</v>
      </c>
      <c r="E35" s="1">
        <f>B16</f>
        <v>0</v>
      </c>
      <c r="F35" t="s">
        <v>160</v>
      </c>
      <c r="G35" t="s">
        <v>165</v>
      </c>
      <c r="H35">
        <v>0.71</v>
      </c>
      <c r="I35" t="s">
        <v>164</v>
      </c>
      <c r="J35" t="s">
        <v>83</v>
      </c>
      <c r="K35">
        <v>1</v>
      </c>
      <c r="L35" t="s">
        <v>119</v>
      </c>
      <c r="M35" s="407"/>
      <c r="N35" s="407"/>
      <c r="O35" s="407"/>
      <c r="P35" s="407"/>
      <c r="Q35" s="407"/>
      <c r="R35" s="407"/>
      <c r="V35" t="s">
        <v>445</v>
      </c>
      <c r="W35" s="1">
        <f>B14</f>
        <v>9.7300000000000008E-3</v>
      </c>
      <c r="X35" t="s">
        <v>107</v>
      </c>
      <c r="Y35" t="s">
        <v>445</v>
      </c>
      <c r="Z35" s="1">
        <f>B14</f>
        <v>9.7300000000000008E-3</v>
      </c>
      <c r="AA35" t="s">
        <v>107</v>
      </c>
      <c r="AB35" t="s">
        <v>37</v>
      </c>
      <c r="AC35">
        <f>(AC31*AC32)/(1-EXP(-AC32*AC31))</f>
        <v>1653.8838706228457</v>
      </c>
      <c r="AD35">
        <f>(AD31*AD32)/(1-EXP(-AD32*AD31))</f>
        <v>1653.8838706228457</v>
      </c>
      <c r="AE35">
        <f>(AE31*AE32)/(1-EXP(-AE32*AE31))</f>
        <v>1653.8838706228457</v>
      </c>
      <c r="AF35">
        <f>(AF31*AF32)/(1-EXP(-AF32*AF31))</f>
        <v>66.155354824913829</v>
      </c>
      <c r="AG35">
        <f>(AG31*AG32)/(1-EXP(-AG32*AG31))</f>
        <v>66.155354824913829</v>
      </c>
      <c r="BS35" s="1"/>
      <c r="BT35" s="1"/>
      <c r="BZ35">
        <v>1000</v>
      </c>
      <c r="CA35" t="s">
        <v>179</v>
      </c>
      <c r="CH35" s="429"/>
      <c r="CI35" s="429"/>
      <c r="CJ35" s="429"/>
      <c r="CK35" s="429"/>
      <c r="CL35" s="429"/>
      <c r="CT35" t="s">
        <v>83</v>
      </c>
      <c r="CU35">
        <v>1</v>
      </c>
      <c r="CV35" t="s">
        <v>119</v>
      </c>
      <c r="CZ35" t="s">
        <v>246</v>
      </c>
      <c r="DA35">
        <v>350</v>
      </c>
      <c r="DB35" t="s">
        <v>245</v>
      </c>
      <c r="DS35" s="1"/>
      <c r="DY35" s="413"/>
      <c r="EH35" s="1"/>
      <c r="HD35" t="s">
        <v>131</v>
      </c>
      <c r="HE35" s="4">
        <v>5</v>
      </c>
      <c r="HF35" t="s">
        <v>170</v>
      </c>
    </row>
    <row r="36" spans="1:214" x14ac:dyDescent="0.2">
      <c r="A36" t="s">
        <v>108</v>
      </c>
      <c r="B36" s="411">
        <v>200</v>
      </c>
      <c r="C36" t="s">
        <v>90</v>
      </c>
      <c r="D36" t="s">
        <v>65</v>
      </c>
      <c r="E36">
        <v>1</v>
      </c>
      <c r="F36" t="s">
        <v>119</v>
      </c>
      <c r="G36" t="s">
        <v>168</v>
      </c>
      <c r="H36">
        <v>24</v>
      </c>
      <c r="I36" t="s">
        <v>80</v>
      </c>
      <c r="J36" t="s">
        <v>238</v>
      </c>
      <c r="K36">
        <v>24</v>
      </c>
      <c r="L36" t="s">
        <v>80</v>
      </c>
      <c r="M36" s="407"/>
      <c r="N36" s="407"/>
      <c r="O36" s="407"/>
      <c r="P36" s="407"/>
      <c r="Q36" s="407"/>
      <c r="R36" s="407"/>
      <c r="V36" t="s">
        <v>464</v>
      </c>
      <c r="W36">
        <v>1</v>
      </c>
      <c r="Y36" t="s">
        <v>464</v>
      </c>
      <c r="Z36">
        <v>1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 t="s">
        <v>179</v>
      </c>
      <c r="BK36" s="429" t="s">
        <v>405</v>
      </c>
      <c r="BL36" s="429"/>
      <c r="BM36" s="429"/>
      <c r="BN36" s="429"/>
      <c r="BO36" s="429"/>
      <c r="BZ36">
        <v>1000</v>
      </c>
      <c r="CA36" t="s">
        <v>50</v>
      </c>
      <c r="CH36" s="429"/>
      <c r="CI36" s="429"/>
      <c r="CJ36" s="429"/>
      <c r="CK36" s="429"/>
      <c r="CL36" s="429"/>
      <c r="CT36" t="s">
        <v>382</v>
      </c>
      <c r="CU36">
        <v>24</v>
      </c>
      <c r="CV36" t="s">
        <v>80</v>
      </c>
      <c r="CZ36" t="s">
        <v>247</v>
      </c>
      <c r="DA36">
        <v>350</v>
      </c>
      <c r="DB36" t="s">
        <v>245</v>
      </c>
      <c r="DS36" s="1"/>
      <c r="DY36" s="414"/>
      <c r="EH36" s="1"/>
      <c r="HD36" t="s">
        <v>171</v>
      </c>
      <c r="HE36" s="4">
        <v>5</v>
      </c>
      <c r="HF36" t="s">
        <v>172</v>
      </c>
    </row>
    <row r="37" spans="1:214" x14ac:dyDescent="0.2">
      <c r="A37" t="s">
        <v>127</v>
      </c>
      <c r="B37" s="411">
        <v>100</v>
      </c>
      <c r="C37" t="s">
        <v>90</v>
      </c>
      <c r="D37" t="s">
        <v>162</v>
      </c>
      <c r="E37">
        <f>B44</f>
        <v>54</v>
      </c>
      <c r="F37" t="s">
        <v>90</v>
      </c>
      <c r="G37" t="s">
        <v>168</v>
      </c>
      <c r="H37">
        <v>24</v>
      </c>
      <c r="I37" t="s">
        <v>80</v>
      </c>
      <c r="J37" t="s">
        <v>239</v>
      </c>
      <c r="K37">
        <v>24</v>
      </c>
      <c r="L37" t="s">
        <v>80</v>
      </c>
      <c r="V37" t="s">
        <v>452</v>
      </c>
      <c r="W37" s="1" t="e">
        <f>W26/((W32/W33)*W29*W30*W31*W34)</f>
        <v>#DIV/0!</v>
      </c>
      <c r="X37" t="s">
        <v>36</v>
      </c>
      <c r="Y37" t="s">
        <v>452</v>
      </c>
      <c r="Z37" s="1" t="e">
        <f>(Z26*Z30*Z27)/((1-EXP(-Z27))*Z30*Z31*Z29*Z43*(Z32/Z33)*Z34)</f>
        <v>#DIV/0!</v>
      </c>
      <c r="AA37" t="s">
        <v>37</v>
      </c>
      <c r="AB37" t="s">
        <v>451</v>
      </c>
      <c r="AC37" s="1" t="e">
        <f>(AC5/(AC9*AC16*AC8*AC11*(1/AC6)))*AC35</f>
        <v>#DIV/0!</v>
      </c>
      <c r="AD37" s="1" t="e">
        <f>(AD5/(AD9*AD16*AD8*AD11*(1/AD6)))*AD35</f>
        <v>#DIV/0!</v>
      </c>
      <c r="AE37" s="1" t="e">
        <f>(AE5/(AE9*AE16*AE8*AE11*(1/AE6)))*AE35</f>
        <v>#DIV/0!</v>
      </c>
      <c r="AF37" s="1" t="e">
        <f>(AF5/(AF9*AF16*AF8*AF11*(1/AF6)))*AF35</f>
        <v>#DIV/0!</v>
      </c>
      <c r="AG37" s="1" t="e">
        <f>(AG5/(AG9*AG16*AG8*AG11*(1/AG6)))*AG35</f>
        <v>#DIV/0!</v>
      </c>
      <c r="BK37" s="429"/>
      <c r="BL37" s="429"/>
      <c r="BM37" s="429"/>
      <c r="BN37" s="429"/>
      <c r="BO37" s="429"/>
      <c r="BY37" t="s">
        <v>473</v>
      </c>
      <c r="BZ37">
        <f>BZ27/BZ25</f>
        <v>1</v>
      </c>
      <c r="CH37" s="429"/>
      <c r="CI37" s="429"/>
      <c r="CJ37" s="429"/>
      <c r="CK37" s="429"/>
      <c r="CL37" s="429"/>
      <c r="CT37" t="s">
        <v>239</v>
      </c>
      <c r="CU37">
        <v>24</v>
      </c>
      <c r="CV37" t="s">
        <v>80</v>
      </c>
      <c r="CZ37" t="s">
        <v>227</v>
      </c>
      <c r="DA37">
        <v>1</v>
      </c>
      <c r="DB37" t="s">
        <v>119</v>
      </c>
      <c r="DS37" s="1"/>
      <c r="DY37" s="413"/>
      <c r="EH37" s="1"/>
      <c r="HD37" t="s">
        <v>175</v>
      </c>
      <c r="HE37" s="4">
        <f>(0.0112*HE39*HE39)^0.5+HE40*(1-EXP((-HE38*HE39)/(HE35*HE36*HE40)))</f>
        <v>6.2013772096432787</v>
      </c>
      <c r="HF37" t="s">
        <v>176</v>
      </c>
    </row>
    <row r="38" spans="1:214" x14ac:dyDescent="0.2">
      <c r="A38" t="s">
        <v>414</v>
      </c>
      <c r="B38" s="411">
        <v>0.78</v>
      </c>
      <c r="D38" t="s">
        <v>451</v>
      </c>
      <c r="E38" s="1" t="e">
        <f>E33/(E35*E34*E36*E37)</f>
        <v>#DIV/0!</v>
      </c>
      <c r="F38" t="s">
        <v>22</v>
      </c>
      <c r="G38" t="s">
        <v>151</v>
      </c>
      <c r="H38">
        <v>1</v>
      </c>
      <c r="I38" t="s">
        <v>152</v>
      </c>
      <c r="J38" t="s">
        <v>369</v>
      </c>
      <c r="K38">
        <v>0.25</v>
      </c>
      <c r="V38" t="s">
        <v>477</v>
      </c>
      <c r="W38" s="1">
        <f>(W26)/((W32/W33)*W29*W30*W35*(1/365))</f>
        <v>450.1541623843782</v>
      </c>
      <c r="X38" t="s">
        <v>36</v>
      </c>
      <c r="Y38" t="s">
        <v>477</v>
      </c>
      <c r="Z38" s="1">
        <f>(Z26*Z30*Z27)/((1-EXP(-Z27*Z30))*Z35*Z29*Z43*(Z32/Z33)*Z36*(Z43/Z44))</f>
        <v>29780.108338450416</v>
      </c>
      <c r="AA38" t="s">
        <v>37</v>
      </c>
      <c r="AB38" t="s">
        <v>452</v>
      </c>
      <c r="AC38" s="1" t="e">
        <f>(AC5/(AC24*AC20*AC8*AC11*(1/AC40)*((8/1)/(24/1))*AC36))*AC35</f>
        <v>#DIV/0!</v>
      </c>
      <c r="AD38" s="1" t="e">
        <f>(AD5/(AD24*AD20*AD8*((8/1)/(24/1))*AD11*(1/AD40)*AD36))*AD35</f>
        <v>#DIV/0!</v>
      </c>
      <c r="AE38" s="1" t="e">
        <f>(AE5/(AE24*AE20*AE8*((8/1)/(24/1))*AE11*(1/AE40)*AE36))*AE35</f>
        <v>#DIV/0!</v>
      </c>
      <c r="AF38" s="1" t="e">
        <f>(AF5/(AF24*AF20*AF8*AF11*(1/AF41)*AF28*AF19*AF36))*AF35</f>
        <v>#DIV/0!</v>
      </c>
      <c r="AG38" s="1">
        <v>432</v>
      </c>
      <c r="BK38" s="429"/>
      <c r="BL38" s="429"/>
      <c r="BM38" s="429"/>
      <c r="BN38" s="429"/>
      <c r="BO38" s="429"/>
      <c r="BY38" t="s">
        <v>474</v>
      </c>
      <c r="BZ38">
        <f>BZ26/BZ25</f>
        <v>1</v>
      </c>
      <c r="CT38" t="s">
        <v>383</v>
      </c>
      <c r="CU38">
        <v>1</v>
      </c>
      <c r="CZ38" t="s">
        <v>228</v>
      </c>
      <c r="DA38">
        <v>1</v>
      </c>
      <c r="DB38" t="s">
        <v>119</v>
      </c>
      <c r="DY38" s="413"/>
      <c r="HD38" t="s">
        <v>178</v>
      </c>
      <c r="HE38" s="4">
        <v>0.18</v>
      </c>
      <c r="HF38" t="s">
        <v>170</v>
      </c>
    </row>
    <row r="39" spans="1:214" ht="13.5" thickBot="1" x14ac:dyDescent="0.25">
      <c r="A39" t="s">
        <v>415</v>
      </c>
      <c r="B39" s="411">
        <v>2.5</v>
      </c>
      <c r="G39" t="s">
        <v>153</v>
      </c>
      <c r="H39">
        <v>1</v>
      </c>
      <c r="I39" t="s">
        <v>152</v>
      </c>
      <c r="J39" t="s">
        <v>155</v>
      </c>
      <c r="K39">
        <v>1.752</v>
      </c>
      <c r="L39" t="s">
        <v>117</v>
      </c>
      <c r="V39" t="s">
        <v>452</v>
      </c>
      <c r="W39" s="1" t="e">
        <f>(W26*W27*W30)/((W32/W33)*(1-EXP(-W27*W30))*W31*W34*W29*W30)</f>
        <v>#DIV/0!</v>
      </c>
      <c r="X39" t="s">
        <v>37</v>
      </c>
      <c r="Y39" t="s">
        <v>452</v>
      </c>
      <c r="Z39" s="1" t="e">
        <f>Z26/((Z31*Z29*Z43*(Z32/Z33)*Z34))</f>
        <v>#DIV/0!</v>
      </c>
      <c r="AA39" t="s">
        <v>36</v>
      </c>
      <c r="AB39" t="s">
        <v>453</v>
      </c>
      <c r="AC39" s="1">
        <f>(AC5/(AC23*AC22*AC29*AC19*AC8*(1/AC34)*AC11))*AC35</f>
        <v>683.39729748377965</v>
      </c>
      <c r="AD39" s="1">
        <f>(AD5/(AD23*AD22*AD29*AD21*AD8*(1/AD34)*AD11))*AD35</f>
        <v>1708.4932437094494</v>
      </c>
      <c r="AE39" s="1">
        <f>(AE5/(AE23*AE22*AE29*AE19*AE8*(1/AE34)*AE11))*AE35</f>
        <v>759.33033053753309</v>
      </c>
      <c r="AF39" s="1">
        <f>(AF5/(AF23*AF22*(AF28+AF29*AF21)*AF8*(1/AF34)*AF11))*AF35</f>
        <v>19.525637070965136</v>
      </c>
      <c r="AG39" s="1" t="e">
        <f>(AG5/(AG24*AG20*AG8*AG11*(1/AG42)*(AG28+(AG29*AG30))*AG36))*AG35</f>
        <v>#DIV/0!</v>
      </c>
      <c r="BK39" s="429"/>
      <c r="BL39" s="429"/>
      <c r="BM39" s="429"/>
      <c r="BN39" s="429"/>
      <c r="BO39" s="429"/>
      <c r="BT39" s="7"/>
      <c r="BU39" s="2"/>
      <c r="CT39" t="s">
        <v>155</v>
      </c>
      <c r="CU39">
        <v>12.167999999999999</v>
      </c>
      <c r="CV39" t="s">
        <v>117</v>
      </c>
      <c r="CZ39" t="s">
        <v>229</v>
      </c>
      <c r="DA39">
        <v>1</v>
      </c>
      <c r="DB39" t="s">
        <v>119</v>
      </c>
      <c r="DY39" s="413"/>
      <c r="HD39" t="s">
        <v>180</v>
      </c>
      <c r="HE39" s="4">
        <v>55</v>
      </c>
      <c r="HF39" t="s">
        <v>176</v>
      </c>
    </row>
    <row r="40" spans="1:214" ht="15" customHeight="1" thickTop="1" x14ac:dyDescent="0.2">
      <c r="A40" t="s">
        <v>374</v>
      </c>
      <c r="B40" s="410">
        <v>14.8</v>
      </c>
      <c r="C40" t="s">
        <v>380</v>
      </c>
      <c r="D40" s="103" t="s">
        <v>3</v>
      </c>
      <c r="E40" s="104"/>
      <c r="F40" s="105" t="s">
        <v>423</v>
      </c>
      <c r="H40">
        <f>1/1000</f>
        <v>1E-3</v>
      </c>
      <c r="I40" t="s">
        <v>154</v>
      </c>
      <c r="J40" t="s">
        <v>158</v>
      </c>
      <c r="K40">
        <v>16.416</v>
      </c>
      <c r="L40" t="s">
        <v>117</v>
      </c>
      <c r="V40" t="s">
        <v>477</v>
      </c>
      <c r="W40" s="1">
        <f>(W26*W27*W30)/((W32/W33)*(1-EXP(-W27*W30))*W35*W29*W30*(1/365))</f>
        <v>29780.108338450416</v>
      </c>
      <c r="X40" t="s">
        <v>37</v>
      </c>
      <c r="Y40" t="s">
        <v>477</v>
      </c>
      <c r="Z40" s="1">
        <f>Z26/(Z35*Z29*(1/Z44)*Z43*(Z32/Z33)*Z36)</f>
        <v>450.1541623843782</v>
      </c>
      <c r="AA40" t="s">
        <v>36</v>
      </c>
      <c r="AB40" t="s">
        <v>148</v>
      </c>
      <c r="AC40" s="1">
        <f>B18</f>
        <v>1359344473.5814338</v>
      </c>
      <c r="AD40" s="1">
        <f>B18</f>
        <v>1359344473.5814338</v>
      </c>
      <c r="AE40" s="1">
        <f>B18</f>
        <v>1359344473.5814338</v>
      </c>
      <c r="AG40" s="1">
        <f>(AG5/(AG23*AG22*(AG28+AG29*AG21)*AG8*(1/AG34)*AG11))*AG35</f>
        <v>19.525637070965136</v>
      </c>
      <c r="BT40" s="7"/>
      <c r="BU40" s="2"/>
      <c r="CT40" t="s">
        <v>158</v>
      </c>
      <c r="CU40">
        <v>10.007999999999999</v>
      </c>
      <c r="CV40" t="s">
        <v>117</v>
      </c>
      <c r="CZ40" t="s">
        <v>409</v>
      </c>
      <c r="DA40">
        <v>24</v>
      </c>
      <c r="DB40" t="s">
        <v>80</v>
      </c>
      <c r="DY40" s="413"/>
      <c r="HD40" t="s">
        <v>181</v>
      </c>
      <c r="HE40" s="4">
        <v>5</v>
      </c>
      <c r="HF40" t="s">
        <v>176</v>
      </c>
    </row>
    <row r="41" spans="1:214" ht="14.25" x14ac:dyDescent="0.2">
      <c r="A41" t="s">
        <v>375</v>
      </c>
      <c r="B41" s="410">
        <v>56.2</v>
      </c>
      <c r="C41" t="s">
        <v>380</v>
      </c>
      <c r="D41" s="106" t="s">
        <v>150</v>
      </c>
      <c r="E41" s="107" t="s">
        <v>456</v>
      </c>
      <c r="F41" s="108" t="s">
        <v>24</v>
      </c>
      <c r="H41">
        <v>1000</v>
      </c>
      <c r="I41" t="s">
        <v>157</v>
      </c>
      <c r="J41" t="s">
        <v>161</v>
      </c>
      <c r="K41">
        <v>0.4</v>
      </c>
      <c r="Y41" t="s">
        <v>378</v>
      </c>
      <c r="Z41">
        <v>50</v>
      </c>
      <c r="AA41" t="s">
        <v>194</v>
      </c>
      <c r="AB41" s="5" t="s">
        <v>184</v>
      </c>
      <c r="AF41" s="6">
        <f>B19</f>
        <v>776129.4078035407</v>
      </c>
      <c r="AH41" s="5" t="s">
        <v>149</v>
      </c>
      <c r="BT41" s="1"/>
      <c r="CT41" t="s">
        <v>161</v>
      </c>
      <c r="CU41">
        <v>0.4</v>
      </c>
      <c r="CZ41" t="s">
        <v>410</v>
      </c>
      <c r="DA41">
        <v>24</v>
      </c>
      <c r="DB41" t="s">
        <v>80</v>
      </c>
      <c r="DY41" s="413"/>
      <c r="HD41" t="s">
        <v>182</v>
      </c>
      <c r="HE41" s="4">
        <v>5</v>
      </c>
      <c r="HF41" t="s">
        <v>176</v>
      </c>
    </row>
    <row r="42" spans="1:214" ht="13.9" customHeight="1" x14ac:dyDescent="0.2">
      <c r="A42" t="s">
        <v>370</v>
      </c>
      <c r="B42" s="410">
        <v>10.4</v>
      </c>
      <c r="C42" t="s">
        <v>380</v>
      </c>
      <c r="D42" s="106" t="s">
        <v>177</v>
      </c>
      <c r="E42" s="109" t="e">
        <f>E52</f>
        <v>#DIV/0!</v>
      </c>
      <c r="F42" s="110"/>
      <c r="H42">
        <v>1000</v>
      </c>
      <c r="I42" t="s">
        <v>376</v>
      </c>
      <c r="J42" t="s">
        <v>466</v>
      </c>
      <c r="K42">
        <v>0.4</v>
      </c>
      <c r="Y42" t="s">
        <v>377</v>
      </c>
      <c r="Z42">
        <v>5</v>
      </c>
      <c r="AA42" t="s">
        <v>297</v>
      </c>
      <c r="AB42" s="5" t="s">
        <v>185</v>
      </c>
      <c r="AF42" s="5"/>
      <c r="AG42" s="6">
        <f>B20</f>
        <v>69557565.807898715</v>
      </c>
      <c r="AH42" s="5"/>
      <c r="AI42" s="5"/>
      <c r="AJ42" s="5"/>
      <c r="AK42" s="5"/>
      <c r="CT42" t="s">
        <v>466</v>
      </c>
      <c r="CU42">
        <v>0.4</v>
      </c>
      <c r="CZ42" t="s">
        <v>151</v>
      </c>
      <c r="DA42">
        <v>1</v>
      </c>
      <c r="DB42" t="s">
        <v>248</v>
      </c>
    </row>
    <row r="43" spans="1:214" ht="13.15" customHeight="1" thickBot="1" x14ac:dyDescent="0.25">
      <c r="A43" t="s">
        <v>371</v>
      </c>
      <c r="B43" s="410">
        <v>28.5</v>
      </c>
      <c r="C43" t="s">
        <v>380</v>
      </c>
      <c r="D43" s="111" t="s">
        <v>10</v>
      </c>
      <c r="E43" s="112" t="s">
        <v>33</v>
      </c>
      <c r="F43" s="113"/>
      <c r="G43" t="s">
        <v>369</v>
      </c>
      <c r="H43">
        <v>0.25</v>
      </c>
      <c r="J43" t="s">
        <v>465</v>
      </c>
      <c r="K43">
        <v>1</v>
      </c>
      <c r="Y43" t="s">
        <v>298</v>
      </c>
      <c r="Z43">
        <v>1</v>
      </c>
      <c r="AA43" t="s">
        <v>253</v>
      </c>
      <c r="AF43" s="429" t="s">
        <v>392</v>
      </c>
      <c r="AG43" s="429"/>
      <c r="AH43" s="429"/>
      <c r="AI43" s="5"/>
      <c r="AJ43" s="5"/>
      <c r="AK43" s="5"/>
      <c r="BT43" s="1"/>
      <c r="CT43" t="s">
        <v>465</v>
      </c>
      <c r="CU43">
        <v>1</v>
      </c>
      <c r="CZ43" t="s">
        <v>153</v>
      </c>
      <c r="DA43">
        <v>1</v>
      </c>
      <c r="DB43" t="s">
        <v>248</v>
      </c>
    </row>
    <row r="44" spans="1:214" ht="13.5" thickTop="1" x14ac:dyDescent="0.2">
      <c r="A44" t="s">
        <v>162</v>
      </c>
      <c r="B44" s="411">
        <v>54</v>
      </c>
      <c r="C44" t="s">
        <v>90</v>
      </c>
      <c r="D44" t="s">
        <v>485</v>
      </c>
      <c r="E44" s="1">
        <v>1</v>
      </c>
      <c r="H44">
        <v>365</v>
      </c>
      <c r="I44" t="s">
        <v>52</v>
      </c>
      <c r="J44" t="s">
        <v>105</v>
      </c>
      <c r="K44">
        <v>1</v>
      </c>
      <c r="Z44">
        <v>365</v>
      </c>
      <c r="AA44" t="s">
        <v>145</v>
      </c>
      <c r="AF44" s="429"/>
      <c r="AG44" s="429"/>
      <c r="AH44" s="429"/>
      <c r="CT44" t="s">
        <v>105</v>
      </c>
      <c r="CU44">
        <v>1</v>
      </c>
      <c r="CZ44" t="s">
        <v>249</v>
      </c>
      <c r="DA44">
        <v>0.54</v>
      </c>
      <c r="DB44" t="s">
        <v>251</v>
      </c>
    </row>
    <row r="45" spans="1:214" ht="12.75" customHeight="1" x14ac:dyDescent="0.2">
      <c r="A45" t="s">
        <v>254</v>
      </c>
      <c r="B45" s="411">
        <v>256</v>
      </c>
      <c r="C45" t="s">
        <v>380</v>
      </c>
      <c r="D45" t="s">
        <v>51</v>
      </c>
      <c r="E45">
        <v>350</v>
      </c>
      <c r="F45" t="s">
        <v>52</v>
      </c>
      <c r="H45">
        <v>8760</v>
      </c>
      <c r="I45" t="s">
        <v>237</v>
      </c>
      <c r="J45" t="s">
        <v>169</v>
      </c>
      <c r="K45">
        <v>26</v>
      </c>
      <c r="L45" t="s">
        <v>88</v>
      </c>
      <c r="AB45" s="5"/>
      <c r="AC45" s="5"/>
      <c r="AF45" s="429"/>
      <c r="AG45" s="429"/>
      <c r="AH45" s="429"/>
      <c r="AI45" s="5"/>
      <c r="AJ45" s="5"/>
      <c r="AK45" s="5"/>
      <c r="CT45" t="s">
        <v>299</v>
      </c>
      <c r="CU45">
        <v>40</v>
      </c>
      <c r="CV45" t="s">
        <v>88</v>
      </c>
      <c r="CZ45" t="s">
        <v>250</v>
      </c>
      <c r="DA45">
        <v>0.71</v>
      </c>
      <c r="DB45" t="s">
        <v>251</v>
      </c>
    </row>
    <row r="46" spans="1:214" x14ac:dyDescent="0.2">
      <c r="A46" t="s">
        <v>255</v>
      </c>
      <c r="B46" s="411">
        <v>615</v>
      </c>
      <c r="C46" t="s">
        <v>380</v>
      </c>
      <c r="D46" t="s">
        <v>447</v>
      </c>
      <c r="E46" s="1">
        <f>B16</f>
        <v>0</v>
      </c>
      <c r="F46" t="s">
        <v>160</v>
      </c>
      <c r="G46" t="s">
        <v>46</v>
      </c>
      <c r="H46">
        <f>H48</f>
        <v>0</v>
      </c>
      <c r="K46">
        <v>365</v>
      </c>
      <c r="L46" t="s">
        <v>173</v>
      </c>
      <c r="AB46" s="5"/>
      <c r="AC46" s="9"/>
      <c r="AI46" s="5"/>
      <c r="AJ46" s="5"/>
      <c r="AK46" s="5"/>
      <c r="CU46">
        <v>365</v>
      </c>
      <c r="CV46" t="s">
        <v>173</v>
      </c>
      <c r="DA46">
        <v>365</v>
      </c>
      <c r="DB46" t="s">
        <v>245</v>
      </c>
    </row>
    <row r="47" spans="1:214" ht="15" x14ac:dyDescent="0.2">
      <c r="A47" t="s">
        <v>435</v>
      </c>
      <c r="B47" s="410">
        <f>6/26</f>
        <v>0.23076923076923078</v>
      </c>
      <c r="D47" t="s">
        <v>65</v>
      </c>
      <c r="E47">
        <v>1</v>
      </c>
      <c r="F47" t="s">
        <v>119</v>
      </c>
      <c r="G47" t="s">
        <v>54</v>
      </c>
      <c r="H47">
        <f>H49</f>
        <v>0.26</v>
      </c>
      <c r="K47">
        <v>1000</v>
      </c>
      <c r="L47" t="s">
        <v>179</v>
      </c>
      <c r="W47" s="7"/>
      <c r="X47" s="2"/>
      <c r="Y47" s="2"/>
      <c r="Z47" s="2"/>
      <c r="AA47" s="2"/>
      <c r="AB47" s="5"/>
      <c r="AC47" s="5"/>
      <c r="AD47" s="5"/>
      <c r="AI47" s="5"/>
      <c r="AJ47" s="5"/>
      <c r="AK47" s="5"/>
      <c r="CU47">
        <v>1000</v>
      </c>
      <c r="CV47" t="s">
        <v>179</v>
      </c>
      <c r="CZ47" t="s">
        <v>131</v>
      </c>
      <c r="DA47">
        <v>0.5</v>
      </c>
      <c r="DB47" t="s">
        <v>252</v>
      </c>
    </row>
    <row r="48" spans="1:214" x14ac:dyDescent="0.2">
      <c r="A48" t="s">
        <v>434</v>
      </c>
      <c r="B48" s="410">
        <f>20/26</f>
        <v>0.76923076923076927</v>
      </c>
      <c r="D48" t="s">
        <v>162</v>
      </c>
      <c r="E48">
        <f>B44</f>
        <v>54</v>
      </c>
      <c r="F48" t="s">
        <v>90</v>
      </c>
      <c r="G48" t="s">
        <v>63</v>
      </c>
      <c r="H48">
        <f>B28</f>
        <v>0</v>
      </c>
      <c r="K48">
        <v>1000</v>
      </c>
      <c r="L48" t="s">
        <v>50</v>
      </c>
      <c r="W48" s="7"/>
      <c r="X48" s="2"/>
      <c r="Y48" s="2"/>
      <c r="Z48" s="2"/>
      <c r="AA48" s="2"/>
      <c r="AB48" s="5"/>
      <c r="AC48" s="5"/>
      <c r="AF48" s="8"/>
      <c r="AG48" s="5"/>
      <c r="AH48" s="5"/>
      <c r="AI48" s="5"/>
      <c r="AJ48" s="5"/>
      <c r="AK48" s="5"/>
      <c r="CU48">
        <v>1000</v>
      </c>
      <c r="CV48" t="s">
        <v>50</v>
      </c>
      <c r="DA48">
        <v>1</v>
      </c>
      <c r="DB48" t="s">
        <v>253</v>
      </c>
    </row>
    <row r="49" spans="1:106" x14ac:dyDescent="0.2">
      <c r="A49" t="s">
        <v>433</v>
      </c>
      <c r="B49" s="410">
        <f>6/40</f>
        <v>0.15</v>
      </c>
      <c r="E49">
        <v>1000</v>
      </c>
      <c r="F49" t="s">
        <v>179</v>
      </c>
      <c r="G49" t="s">
        <v>70</v>
      </c>
      <c r="H49">
        <v>0.26</v>
      </c>
      <c r="J49" t="s">
        <v>46</v>
      </c>
      <c r="K49">
        <f>K51</f>
        <v>0</v>
      </c>
      <c r="W49" s="1"/>
      <c r="AB49" s="5"/>
      <c r="AC49" s="5"/>
      <c r="AF49" s="8"/>
      <c r="AG49" s="5"/>
      <c r="AH49" s="5"/>
      <c r="AI49" s="5"/>
      <c r="AJ49" s="5"/>
      <c r="AK49" s="5"/>
      <c r="BT49" s="1"/>
      <c r="CT49" t="s">
        <v>433</v>
      </c>
      <c r="CU49" s="1">
        <f>B49</f>
        <v>0.15</v>
      </c>
      <c r="DA49">
        <v>8760</v>
      </c>
      <c r="DB49" t="s">
        <v>237</v>
      </c>
    </row>
    <row r="50" spans="1:106" x14ac:dyDescent="0.2">
      <c r="A50" t="s">
        <v>432</v>
      </c>
      <c r="B50" s="410">
        <f>34/40</f>
        <v>0.85</v>
      </c>
      <c r="D50" t="s">
        <v>186</v>
      </c>
      <c r="E50">
        <f>B22</f>
        <v>0</v>
      </c>
      <c r="F50" t="s">
        <v>45</v>
      </c>
      <c r="G50" t="s">
        <v>44</v>
      </c>
      <c r="H50" s="1">
        <f>(H53*H54*H55*((1-EXP(-H56*H57))))/(H58*H56)</f>
        <v>0</v>
      </c>
      <c r="I50" t="s">
        <v>45</v>
      </c>
      <c r="J50" t="s">
        <v>54</v>
      </c>
      <c r="K50">
        <f>K52</f>
        <v>0.26</v>
      </c>
      <c r="W50" s="1"/>
      <c r="AB50" s="5"/>
      <c r="AC50" s="5"/>
      <c r="AF50" s="8"/>
      <c r="AG50" s="5"/>
      <c r="AH50" s="5"/>
      <c r="AI50" s="5"/>
      <c r="AJ50" s="5"/>
      <c r="AK50" s="5"/>
      <c r="BW50" s="1"/>
      <c r="CT50" t="s">
        <v>432</v>
      </c>
      <c r="CU50" s="1">
        <f>B50</f>
        <v>0.85</v>
      </c>
      <c r="DA50">
        <v>1000</v>
      </c>
      <c r="DB50" t="s">
        <v>179</v>
      </c>
    </row>
    <row r="51" spans="1:106" x14ac:dyDescent="0.2">
      <c r="D51" t="s">
        <v>188</v>
      </c>
      <c r="E51">
        <v>1</v>
      </c>
      <c r="F51" t="s">
        <v>189</v>
      </c>
      <c r="G51" t="s">
        <v>53</v>
      </c>
      <c r="H51" s="1">
        <f>(H53*H54*H59*((1-EXP(-H56*H57))))/(H58*H56)</f>
        <v>5.4035127681958941E-3</v>
      </c>
      <c r="I51" t="s">
        <v>45</v>
      </c>
      <c r="J51" t="s">
        <v>63</v>
      </c>
      <c r="K51">
        <f>B28</f>
        <v>0</v>
      </c>
      <c r="AB51" s="5"/>
      <c r="AC51" s="5"/>
      <c r="AF51" s="8"/>
      <c r="AG51" s="5"/>
      <c r="BW51" s="1"/>
      <c r="CZ51" t="s">
        <v>433</v>
      </c>
      <c r="DA51" s="1">
        <f>B49</f>
        <v>0.15</v>
      </c>
    </row>
    <row r="52" spans="1:106" x14ac:dyDescent="0.2">
      <c r="D52" t="s">
        <v>451</v>
      </c>
      <c r="E52" s="1" t="e">
        <f>E44/(E46*E45*E47*E48*E50*E51*(1/E49))</f>
        <v>#DIV/0!</v>
      </c>
      <c r="G52" t="s">
        <v>62</v>
      </c>
      <c r="H52" s="1">
        <f>(H53*H54*H60*H66*((1-EXP(-H61*H62))))/(H63*H61)</f>
        <v>0.82303427313698274</v>
      </c>
      <c r="I52" t="s">
        <v>45</v>
      </c>
      <c r="J52" t="s">
        <v>70</v>
      </c>
      <c r="K52">
        <v>0.26</v>
      </c>
      <c r="AB52" s="5"/>
      <c r="AC52" s="5"/>
      <c r="AF52" s="8"/>
      <c r="AG52" s="5"/>
      <c r="BW52" s="1"/>
      <c r="CZ52" t="s">
        <v>432</v>
      </c>
      <c r="DA52" s="1">
        <f>B50</f>
        <v>0.85</v>
      </c>
    </row>
    <row r="53" spans="1:106" x14ac:dyDescent="0.2">
      <c r="G53" t="s">
        <v>68</v>
      </c>
      <c r="H53">
        <v>3.62</v>
      </c>
      <c r="I53" t="s">
        <v>69</v>
      </c>
      <c r="J53" t="s">
        <v>435</v>
      </c>
      <c r="K53" s="1">
        <f>B47</f>
        <v>0.23076923076923078</v>
      </c>
      <c r="W53" s="1"/>
      <c r="AB53" s="5"/>
      <c r="AC53" s="5"/>
      <c r="AF53" s="8"/>
      <c r="AG53" s="5"/>
    </row>
    <row r="54" spans="1:106" x14ac:dyDescent="0.2">
      <c r="G54" t="s">
        <v>74</v>
      </c>
      <c r="H54">
        <v>0.25</v>
      </c>
      <c r="I54" t="s">
        <v>75</v>
      </c>
      <c r="J54" t="s">
        <v>434</v>
      </c>
      <c r="K54" s="1">
        <f>B48</f>
        <v>0.76923076923076927</v>
      </c>
      <c r="AB54" s="5"/>
      <c r="AC54" s="5"/>
      <c r="AF54" s="8"/>
      <c r="AG54" s="5"/>
    </row>
    <row r="55" spans="1:106" x14ac:dyDescent="0.2">
      <c r="G55" t="s">
        <v>63</v>
      </c>
      <c r="H55">
        <f>B28</f>
        <v>0</v>
      </c>
      <c r="AB55" s="5"/>
      <c r="AC55" s="5"/>
      <c r="AD55" s="5"/>
      <c r="AF55" s="8"/>
      <c r="AG55" s="5"/>
      <c r="AH55" s="5"/>
      <c r="AI55" s="5"/>
      <c r="AJ55" s="5"/>
      <c r="AK55" s="5"/>
    </row>
    <row r="56" spans="1:106" x14ac:dyDescent="0.2">
      <c r="G56" t="s">
        <v>92</v>
      </c>
      <c r="H56">
        <f>H64+H65</f>
        <v>0.18144061256544503</v>
      </c>
      <c r="AB56" s="5"/>
      <c r="AC56" s="5"/>
      <c r="AD56" s="5"/>
      <c r="AF56" s="8"/>
      <c r="AG56" s="5"/>
      <c r="AH56" s="5"/>
      <c r="AI56" s="5"/>
      <c r="AJ56" s="5"/>
      <c r="AK56" s="5"/>
    </row>
    <row r="57" spans="1:106" x14ac:dyDescent="0.2">
      <c r="G57" t="s">
        <v>101</v>
      </c>
      <c r="H57">
        <v>10950</v>
      </c>
      <c r="I57" t="s">
        <v>102</v>
      </c>
      <c r="AB57" s="5"/>
      <c r="AC57" s="5"/>
      <c r="AD57" s="5"/>
      <c r="AF57" s="8"/>
      <c r="AG57" s="5"/>
      <c r="AH57" s="5"/>
      <c r="AI57" s="5"/>
      <c r="AJ57" s="5"/>
      <c r="AK57" s="5"/>
    </row>
    <row r="58" spans="1:106" x14ac:dyDescent="0.2">
      <c r="G58" t="s">
        <v>110</v>
      </c>
      <c r="H58">
        <v>240</v>
      </c>
      <c r="I58" t="s">
        <v>111</v>
      </c>
      <c r="AB58" s="5"/>
      <c r="AC58" s="5"/>
      <c r="AF58" s="8"/>
      <c r="AG58" s="5"/>
      <c r="AH58" s="5"/>
      <c r="AI58" s="5"/>
      <c r="AJ58" s="5"/>
      <c r="AK58" s="5"/>
    </row>
    <row r="59" spans="1:106" x14ac:dyDescent="0.2">
      <c r="G59" t="s">
        <v>120</v>
      </c>
      <c r="H59">
        <v>0.26</v>
      </c>
      <c r="AB59" s="5"/>
      <c r="AC59" s="5"/>
      <c r="AF59" s="5"/>
      <c r="AG59" s="5"/>
      <c r="AH59" s="5"/>
      <c r="AI59" s="5"/>
      <c r="AJ59" s="5"/>
      <c r="AK59" s="5"/>
    </row>
    <row r="60" spans="1:106" x14ac:dyDescent="0.2">
      <c r="G60" t="s">
        <v>125</v>
      </c>
      <c r="H60">
        <v>0.42</v>
      </c>
      <c r="I60" t="s">
        <v>75</v>
      </c>
      <c r="AB60" s="5"/>
      <c r="AC60" s="5"/>
      <c r="AF60" s="5"/>
      <c r="AG60" s="5"/>
      <c r="AH60" s="5"/>
      <c r="AI60" s="5"/>
      <c r="AJ60" s="5"/>
      <c r="AK60" s="5"/>
    </row>
    <row r="61" spans="1:106" x14ac:dyDescent="0.2">
      <c r="G61" t="s">
        <v>129</v>
      </c>
      <c r="H61">
        <f>H65+(0.693/H67)</f>
        <v>0.23091361256544501</v>
      </c>
      <c r="I61" t="s">
        <v>130</v>
      </c>
      <c r="AB61" s="5"/>
      <c r="AC61" s="5"/>
      <c r="AD61" s="5"/>
      <c r="AF61" s="5"/>
      <c r="AG61" s="5"/>
      <c r="AH61" s="5"/>
      <c r="AI61" s="5"/>
      <c r="AJ61" s="5"/>
      <c r="AK61" s="5"/>
      <c r="DA61" s="1"/>
    </row>
    <row r="62" spans="1:106" x14ac:dyDescent="0.2">
      <c r="G62" t="s">
        <v>133</v>
      </c>
      <c r="H62">
        <v>60</v>
      </c>
      <c r="I62" t="s">
        <v>102</v>
      </c>
      <c r="AB62" s="5"/>
      <c r="AC62" s="5"/>
      <c r="AD62" s="5"/>
      <c r="AF62" s="8"/>
      <c r="AG62" s="5"/>
      <c r="AH62" s="5"/>
      <c r="AI62" s="5"/>
      <c r="AJ62" s="5"/>
      <c r="AK62" s="5"/>
    </row>
    <row r="63" spans="1:106" x14ac:dyDescent="0.2">
      <c r="G63" t="s">
        <v>135</v>
      </c>
      <c r="H63">
        <v>2</v>
      </c>
      <c r="I63" t="s">
        <v>111</v>
      </c>
      <c r="AB63" s="5"/>
      <c r="AC63" s="5"/>
      <c r="AD63" s="5"/>
      <c r="AF63" s="8"/>
      <c r="AG63" s="5"/>
      <c r="AH63" s="5"/>
      <c r="AI63" s="5"/>
      <c r="AJ63" s="5"/>
      <c r="AK63" s="5"/>
    </row>
    <row r="64" spans="1:106" x14ac:dyDescent="0.2">
      <c r="G64" t="s">
        <v>137</v>
      </c>
      <c r="H64">
        <v>2.6999999999999999E-5</v>
      </c>
      <c r="I64" t="s">
        <v>130</v>
      </c>
      <c r="AB64" s="5"/>
      <c r="AC64" s="5"/>
      <c r="AD64" s="5"/>
      <c r="AF64" s="8"/>
      <c r="AG64" s="5"/>
      <c r="AH64" s="5"/>
      <c r="AI64" s="5"/>
      <c r="AJ64" s="5"/>
      <c r="AK64" s="5"/>
    </row>
    <row r="65" spans="7:105" x14ac:dyDescent="0.2">
      <c r="G65" t="s">
        <v>138</v>
      </c>
      <c r="H65">
        <f>0.693/H69</f>
        <v>0.18141361256544503</v>
      </c>
      <c r="I65" t="s">
        <v>130</v>
      </c>
      <c r="AB65" s="5"/>
      <c r="AC65" s="5"/>
      <c r="AD65" s="5"/>
      <c r="AF65" s="8"/>
      <c r="AG65" s="5"/>
      <c r="AH65" s="5"/>
      <c r="AI65" s="5"/>
      <c r="AJ65" s="5"/>
      <c r="AK65" s="5"/>
    </row>
    <row r="66" spans="7:105" x14ac:dyDescent="0.2">
      <c r="G66" t="s">
        <v>140</v>
      </c>
      <c r="H66">
        <v>1</v>
      </c>
      <c r="I66" t="s">
        <v>75</v>
      </c>
      <c r="AB66" s="5"/>
      <c r="AC66" s="5"/>
      <c r="AD66" s="5"/>
      <c r="AF66" s="8"/>
      <c r="AG66" s="5"/>
      <c r="AH66" s="5"/>
      <c r="AI66" s="5"/>
      <c r="AJ66" s="5"/>
      <c r="AK66" s="5"/>
      <c r="DA66" s="1"/>
    </row>
    <row r="67" spans="7:105" x14ac:dyDescent="0.2">
      <c r="G67" t="s">
        <v>144</v>
      </c>
      <c r="H67">
        <v>14</v>
      </c>
      <c r="I67" t="s">
        <v>145</v>
      </c>
      <c r="AB67" s="5"/>
      <c r="AC67" s="10"/>
      <c r="AD67" s="5"/>
      <c r="AF67" s="8"/>
      <c r="AG67" s="5"/>
      <c r="AH67" s="5"/>
      <c r="AI67" s="5"/>
      <c r="AJ67" s="5"/>
      <c r="AK67" s="5"/>
    </row>
    <row r="68" spans="7:105" x14ac:dyDescent="0.2">
      <c r="G68" t="s">
        <v>64</v>
      </c>
      <c r="H68">
        <f>B29</f>
        <v>0</v>
      </c>
      <c r="AB68" s="5"/>
      <c r="AC68" s="11"/>
      <c r="AD68" s="5"/>
      <c r="AF68" s="8"/>
      <c r="AG68" s="5"/>
      <c r="AH68" s="5"/>
      <c r="AI68" s="5"/>
      <c r="AJ68" s="5"/>
      <c r="AK68" s="5"/>
    </row>
    <row r="69" spans="7:105" x14ac:dyDescent="0.2">
      <c r="G69" t="s">
        <v>416</v>
      </c>
      <c r="H69" s="1">
        <f>B21</f>
        <v>3.82</v>
      </c>
      <c r="I69" t="s">
        <v>381</v>
      </c>
      <c r="AF69" s="12"/>
      <c r="AG69" s="5"/>
      <c r="AH69" s="5"/>
      <c r="AI69" s="5"/>
      <c r="AJ69" s="5"/>
      <c r="AK69" s="5"/>
      <c r="BW69" s="1"/>
    </row>
    <row r="70" spans="7:105" x14ac:dyDescent="0.2">
      <c r="G70" t="s">
        <v>435</v>
      </c>
      <c r="H70" s="1">
        <f>B47</f>
        <v>0.23076923076923078</v>
      </c>
      <c r="AF70" s="8"/>
      <c r="AG70" s="5"/>
      <c r="AH70" s="5"/>
      <c r="AI70" s="5"/>
      <c r="AJ70" s="5"/>
      <c r="AK70" s="5"/>
    </row>
    <row r="71" spans="7:105" x14ac:dyDescent="0.2">
      <c r="G71" t="s">
        <v>434</v>
      </c>
      <c r="H71" s="1">
        <f>B48</f>
        <v>0.76923076923076927</v>
      </c>
      <c r="AF71" s="13"/>
      <c r="AG71" s="5"/>
      <c r="AH71" s="5"/>
      <c r="AI71" s="5"/>
      <c r="AJ71" s="5"/>
      <c r="AK71" s="5"/>
    </row>
    <row r="72" spans="7:105" x14ac:dyDescent="0.2">
      <c r="AF72" s="8"/>
      <c r="AG72" s="5"/>
      <c r="AH72" s="5"/>
      <c r="AI72" s="5"/>
      <c r="AJ72" s="5"/>
      <c r="AK72" s="5"/>
    </row>
    <row r="73" spans="7:105" x14ac:dyDescent="0.2">
      <c r="AF73" s="8"/>
      <c r="AG73" s="5"/>
      <c r="AH73" s="5"/>
      <c r="AI73" s="5"/>
      <c r="AJ73" s="5"/>
      <c r="AK73" s="5"/>
    </row>
    <row r="74" spans="7:105" x14ac:dyDescent="0.2">
      <c r="AF74" s="8"/>
      <c r="AG74" s="5"/>
      <c r="AH74" s="5"/>
      <c r="AI74" s="5"/>
      <c r="AJ74" s="5"/>
      <c r="AK74" s="5"/>
    </row>
    <row r="75" spans="7:105" x14ac:dyDescent="0.2">
      <c r="AF75" s="5"/>
      <c r="AG75" s="5"/>
      <c r="AH75" s="5"/>
      <c r="AI75" s="5"/>
      <c r="AJ75" s="5"/>
      <c r="AK75" s="5"/>
    </row>
    <row r="76" spans="7:105" x14ac:dyDescent="0.2">
      <c r="AF76" s="8"/>
      <c r="AG76" s="5"/>
      <c r="AH76" s="5"/>
      <c r="AI76" s="5"/>
      <c r="AJ76" s="5"/>
      <c r="AK76" s="5"/>
    </row>
    <row r="77" spans="7:105" x14ac:dyDescent="0.2">
      <c r="AF77" s="8"/>
      <c r="AG77" s="5"/>
      <c r="AH77" s="5"/>
      <c r="AI77" s="5"/>
      <c r="AJ77" s="5"/>
      <c r="AK77" s="5"/>
    </row>
    <row r="78" spans="7:105" ht="12.75" customHeight="1" x14ac:dyDescent="0.2">
      <c r="AF78" s="8"/>
      <c r="AG78" s="5"/>
    </row>
    <row r="79" spans="7:105" x14ac:dyDescent="0.2">
      <c r="AF79" s="8"/>
      <c r="AG79" s="5"/>
      <c r="AH79" s="5"/>
      <c r="AI79" s="5"/>
      <c r="AJ79" s="5"/>
      <c r="AK79" s="5"/>
    </row>
    <row r="80" spans="7:105" x14ac:dyDescent="0.2">
      <c r="AF80" s="8"/>
      <c r="AG80" s="5"/>
      <c r="AH80" s="5"/>
      <c r="AI80" s="5"/>
      <c r="AJ80" s="5"/>
      <c r="AK80" s="5"/>
    </row>
    <row r="81" spans="32:37" x14ac:dyDescent="0.2">
      <c r="AF81" s="8"/>
      <c r="AG81" s="5"/>
      <c r="AH81" s="5"/>
      <c r="AI81" s="5"/>
      <c r="AJ81" s="5"/>
      <c r="AK81" s="5"/>
    </row>
    <row r="82" spans="32:37" x14ac:dyDescent="0.2">
      <c r="AF82" s="8"/>
      <c r="AG82" s="5"/>
      <c r="AH82" s="5"/>
      <c r="AI82" s="5"/>
      <c r="AJ82" s="5"/>
      <c r="AK82" s="5"/>
    </row>
    <row r="83" spans="32:37" x14ac:dyDescent="0.2">
      <c r="AF83" s="5"/>
      <c r="AG83" s="5"/>
    </row>
    <row r="84" spans="32:37" x14ac:dyDescent="0.2">
      <c r="AF84" s="5"/>
      <c r="AG84" s="5"/>
      <c r="AH84" s="5"/>
      <c r="AI84" s="5"/>
      <c r="AJ84" s="5"/>
      <c r="AK84" s="5"/>
    </row>
    <row r="85" spans="32:37" x14ac:dyDescent="0.2">
      <c r="AF85" s="5"/>
      <c r="AG85" s="5"/>
    </row>
    <row r="86" spans="32:37" x14ac:dyDescent="0.2">
      <c r="AH86" s="5"/>
      <c r="AI86" s="5"/>
      <c r="AJ86" s="5"/>
      <c r="AK86" s="5"/>
    </row>
  </sheetData>
  <mergeCells count="4">
    <mergeCell ref="A1:C4"/>
    <mergeCell ref="CH34:CL37"/>
    <mergeCell ref="BK36:BO39"/>
    <mergeCell ref="AF43:AH45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F86"/>
  <sheetViews>
    <sheetView workbookViewId="0">
      <pane xSplit="3" topLeftCell="D1" activePane="topRight" state="frozen"/>
      <selection pane="topRight" activeCell="D1" sqref="D1"/>
    </sheetView>
  </sheetViews>
  <sheetFormatPr defaultRowHeight="12.75" x14ac:dyDescent="0.2"/>
  <cols>
    <col min="1" max="1" width="14.42578125" bestFit="1" customWidth="1"/>
    <col min="3" max="3" width="14.28515625" bestFit="1" customWidth="1"/>
    <col min="4" max="4" width="8.5703125" customWidth="1"/>
    <col min="5" max="5" width="12.5703125" customWidth="1"/>
    <col min="6" max="6" width="19" customWidth="1"/>
    <col min="7" max="7" width="10" customWidth="1"/>
    <col min="8" max="8" width="12" customWidth="1"/>
    <col min="9" max="9" width="13.28515625" customWidth="1"/>
    <col min="10" max="10" width="10" customWidth="1"/>
    <col min="11" max="11" width="12.85546875" customWidth="1"/>
    <col min="12" max="12" width="14.28515625" customWidth="1"/>
    <col min="13" max="13" width="10.42578125" customWidth="1"/>
    <col min="14" max="14" width="11.5703125" customWidth="1"/>
    <col min="15" max="15" width="15.42578125" customWidth="1"/>
    <col min="16" max="16" width="10.42578125" customWidth="1"/>
    <col min="17" max="17" width="8.85546875" customWidth="1"/>
    <col min="18" max="18" width="15.42578125" customWidth="1"/>
    <col min="19" max="19" width="10.42578125" customWidth="1"/>
    <col min="20" max="20" width="8.85546875" customWidth="1"/>
    <col min="21" max="21" width="15.42578125" customWidth="1"/>
    <col min="22" max="22" width="8.5703125" customWidth="1"/>
    <col min="23" max="23" width="9" customWidth="1"/>
    <col min="24" max="24" width="16.85546875" customWidth="1"/>
    <col min="25" max="25" width="9.28515625" customWidth="1"/>
    <col min="26" max="26" width="11.140625" customWidth="1"/>
    <col min="27" max="27" width="16.85546875" customWidth="1"/>
    <col min="28" max="28" width="12.85546875" customWidth="1"/>
    <col min="29" max="29" width="17.42578125" customWidth="1"/>
    <col min="30" max="30" width="15.7109375" customWidth="1"/>
    <col min="31" max="31" width="15" customWidth="1"/>
    <col min="32" max="32" width="20.5703125" customWidth="1"/>
    <col min="33" max="33" width="24.28515625" customWidth="1"/>
    <col min="34" max="34" width="15.7109375" customWidth="1"/>
    <col min="35" max="35" width="10.42578125" customWidth="1"/>
    <col min="36" max="36" width="11.5703125" customWidth="1"/>
    <col min="37" max="37" width="15.42578125" customWidth="1"/>
    <col min="38" max="38" width="10.42578125" customWidth="1"/>
    <col min="39" max="39" width="8.85546875" customWidth="1"/>
    <col min="40" max="40" width="15.42578125" customWidth="1"/>
    <col min="41" max="41" width="10.42578125" customWidth="1"/>
    <col min="42" max="42" width="8.85546875" customWidth="1"/>
    <col min="43" max="43" width="15.42578125" customWidth="1"/>
    <col min="44" max="44" width="10.42578125" customWidth="1"/>
    <col min="45" max="45" width="11.5703125" customWidth="1"/>
    <col min="46" max="46" width="15.42578125" customWidth="1"/>
    <col min="47" max="47" width="10.42578125" customWidth="1"/>
    <col min="48" max="48" width="8.85546875" customWidth="1"/>
    <col min="49" max="49" width="15.42578125" customWidth="1"/>
    <col min="50" max="50" width="10.42578125" bestFit="1" customWidth="1"/>
    <col min="51" max="51" width="8.85546875" customWidth="1"/>
    <col min="52" max="52" width="15.42578125" customWidth="1"/>
    <col min="53" max="53" width="10.42578125" bestFit="1" customWidth="1"/>
    <col min="54" max="54" width="11.5703125" bestFit="1" customWidth="1"/>
    <col min="55" max="55" width="15.42578125" bestFit="1" customWidth="1"/>
    <col min="56" max="56" width="10.42578125" bestFit="1" customWidth="1"/>
    <col min="57" max="57" width="8.85546875" bestFit="1" customWidth="1"/>
    <col min="58" max="58" width="15.42578125" bestFit="1" customWidth="1"/>
    <col min="59" max="59" width="10.42578125" bestFit="1" customWidth="1"/>
    <col min="60" max="60" width="8.85546875" bestFit="1" customWidth="1"/>
    <col min="61" max="61" width="15.42578125" bestFit="1" customWidth="1"/>
    <col min="62" max="62" width="10.42578125" bestFit="1" customWidth="1"/>
    <col min="63" max="63" width="11.5703125" bestFit="1" customWidth="1"/>
    <col min="64" max="64" width="15.42578125" bestFit="1" customWidth="1"/>
    <col min="65" max="65" width="10.42578125" bestFit="1" customWidth="1"/>
    <col min="66" max="66" width="8.85546875" bestFit="1" customWidth="1"/>
    <col min="67" max="67" width="15.42578125" bestFit="1" customWidth="1"/>
    <col min="68" max="68" width="10.42578125" bestFit="1" customWidth="1"/>
    <col min="69" max="69" width="8.85546875" bestFit="1" customWidth="1"/>
    <col min="70" max="70" width="15.42578125" bestFit="1" customWidth="1"/>
    <col min="71" max="71" width="8.5703125" customWidth="1"/>
    <col min="72" max="72" width="10.5703125" bestFit="1" customWidth="1"/>
    <col min="73" max="73" width="19" bestFit="1" customWidth="1"/>
    <col min="74" max="75" width="12" bestFit="1" customWidth="1"/>
    <col min="76" max="76" width="10.42578125" bestFit="1" customWidth="1"/>
    <col min="77" max="77" width="10" bestFit="1" customWidth="1"/>
    <col min="78" max="78" width="11.28515625" bestFit="1" customWidth="1"/>
    <col min="79" max="79" width="14.28515625" customWidth="1"/>
    <col min="80" max="82" width="15.42578125" customWidth="1"/>
    <col min="83" max="83" width="10.42578125" bestFit="1" customWidth="1"/>
    <col min="84" max="84" width="8.85546875" bestFit="1" customWidth="1"/>
    <col min="85" max="85" width="15.42578125" bestFit="1" customWidth="1"/>
    <col min="86" max="86" width="10.42578125" bestFit="1" customWidth="1"/>
    <col min="87" max="87" width="8.85546875" bestFit="1" customWidth="1"/>
    <col min="88" max="88" width="15.42578125" bestFit="1" customWidth="1"/>
    <col min="89" max="89" width="9" bestFit="1" customWidth="1"/>
    <col min="90" max="90" width="8.85546875" bestFit="1" customWidth="1"/>
    <col min="91" max="91" width="8.140625" bestFit="1" customWidth="1"/>
    <col min="92" max="92" width="9.85546875" bestFit="1" customWidth="1"/>
    <col min="93" max="93" width="8.85546875" bestFit="1" customWidth="1"/>
    <col min="94" max="94" width="7.42578125" bestFit="1" customWidth="1"/>
    <col min="95" max="95" width="9.42578125" bestFit="1" customWidth="1"/>
    <col min="96" max="96" width="8.85546875" bestFit="1" customWidth="1"/>
    <col min="97" max="97" width="7.42578125" bestFit="1" customWidth="1"/>
    <col min="98" max="98" width="10" bestFit="1" customWidth="1"/>
    <col min="99" max="99" width="12.85546875" bestFit="1" customWidth="1"/>
    <col min="100" max="100" width="14.28515625" customWidth="1"/>
    <col min="101" max="101" width="8.5703125" customWidth="1"/>
    <col min="102" max="102" width="10.5703125" bestFit="1" customWidth="1"/>
    <col min="103" max="103" width="16.85546875" bestFit="1" customWidth="1"/>
    <col min="104" max="104" width="10.42578125" bestFit="1" customWidth="1"/>
    <col min="105" max="105" width="11.28515625" bestFit="1" customWidth="1"/>
    <col min="106" max="106" width="9.42578125" customWidth="1"/>
    <col min="107" max="107" width="9.140625" customWidth="1"/>
    <col min="108" max="108" width="11.28515625" bestFit="1" customWidth="1"/>
    <col min="109" max="109" width="9.140625" customWidth="1"/>
    <col min="110" max="110" width="9.85546875" bestFit="1" customWidth="1"/>
    <col min="111" max="111" width="12" customWidth="1"/>
    <col min="112" max="112" width="9.42578125" customWidth="1"/>
    <col min="113" max="113" width="7.5703125" bestFit="1" customWidth="1"/>
    <col min="114" max="114" width="8.28515625" bestFit="1" customWidth="1"/>
    <col min="115" max="115" width="7.42578125" bestFit="1" customWidth="1"/>
    <col min="116" max="116" width="7.5703125" bestFit="1" customWidth="1"/>
    <col min="117" max="117" width="8.28515625" bestFit="1" customWidth="1"/>
    <col min="118" max="118" width="7.42578125" bestFit="1" customWidth="1"/>
    <col min="119" max="119" width="9.85546875" bestFit="1" customWidth="1"/>
    <col min="120" max="120" width="12" customWidth="1"/>
    <col min="121" max="121" width="9.42578125" customWidth="1"/>
    <col min="122" max="122" width="8" bestFit="1" customWidth="1"/>
    <col min="123" max="123" width="12.85546875" bestFit="1" customWidth="1"/>
    <col min="124" max="124" width="9.140625" customWidth="1"/>
    <col min="125" max="125" width="8.85546875" bestFit="1" customWidth="1"/>
    <col min="126" max="126" width="8.85546875" customWidth="1"/>
    <col min="127" max="127" width="7.42578125" bestFit="1" customWidth="1"/>
    <col min="128" max="128" width="6.28515625" customWidth="1"/>
    <col min="129" max="129" width="8.85546875" customWidth="1"/>
    <col min="130" max="130" width="7.42578125" bestFit="1" customWidth="1"/>
    <col min="131" max="131" width="6.28515625" customWidth="1"/>
    <col min="132" max="132" width="8.85546875" customWidth="1"/>
    <col min="133" max="133" width="7.42578125" bestFit="1" customWidth="1"/>
    <col min="134" max="134" width="9.85546875" bestFit="1" customWidth="1"/>
    <col min="135" max="135" width="9.42578125" bestFit="1" customWidth="1"/>
    <col min="136" max="136" width="7.42578125" bestFit="1" customWidth="1"/>
    <col min="137" max="137" width="8" bestFit="1" customWidth="1"/>
    <col min="138" max="138" width="12.85546875" bestFit="1" customWidth="1"/>
    <col min="139" max="139" width="9.140625" customWidth="1"/>
    <col min="140" max="140" width="8.28515625" customWidth="1"/>
    <col min="141" max="141" width="8.85546875" customWidth="1"/>
    <col min="142" max="142" width="7.42578125" bestFit="1" customWidth="1"/>
    <col min="143" max="143" width="6.28515625" customWidth="1"/>
    <col min="144" max="144" width="8.85546875" customWidth="1"/>
    <col min="145" max="145" width="7.42578125" bestFit="1" customWidth="1"/>
    <col min="146" max="146" width="6.28515625" customWidth="1"/>
    <col min="147" max="147" width="8.85546875" customWidth="1"/>
    <col min="148" max="148" width="7.42578125" bestFit="1" customWidth="1"/>
    <col min="149" max="149" width="9.85546875" bestFit="1" customWidth="1"/>
    <col min="150" max="150" width="9.42578125" bestFit="1" customWidth="1"/>
    <col min="151" max="151" width="7.42578125" bestFit="1" customWidth="1"/>
    <col min="152" max="152" width="8" bestFit="1" customWidth="1"/>
    <col min="153" max="153" width="11.28515625" bestFit="1" customWidth="1"/>
    <col min="154" max="154" width="9.140625" customWidth="1"/>
    <col min="155" max="155" width="7.85546875" bestFit="1" customWidth="1"/>
    <col min="156" max="156" width="8.85546875" customWidth="1"/>
    <col min="157" max="157" width="7.42578125" bestFit="1" customWidth="1"/>
    <col min="158" max="158" width="8.28515625" bestFit="1" customWidth="1"/>
    <col min="159" max="159" width="8.85546875" bestFit="1" customWidth="1"/>
    <col min="160" max="160" width="7.42578125" bestFit="1" customWidth="1"/>
    <col min="161" max="162" width="8.28515625" bestFit="1" customWidth="1"/>
    <col min="163" max="163" width="7.42578125" bestFit="1" customWidth="1"/>
    <col min="164" max="164" width="9.85546875" bestFit="1" customWidth="1"/>
    <col min="165" max="165" width="9" bestFit="1" customWidth="1"/>
    <col min="166" max="166" width="7.42578125" bestFit="1" customWidth="1"/>
    <col min="167" max="167" width="8.28515625" bestFit="1" customWidth="1"/>
    <col min="168" max="168" width="12.85546875" bestFit="1" customWidth="1"/>
    <col min="169" max="169" width="9.140625" customWidth="1"/>
    <col min="170" max="170" width="7.7109375" customWidth="1"/>
    <col min="171" max="171" width="8.85546875" customWidth="1"/>
    <col min="172" max="172" width="7.42578125" customWidth="1"/>
    <col min="173" max="173" width="6.5703125" customWidth="1"/>
    <col min="174" max="174" width="9" customWidth="1"/>
    <col min="175" max="175" width="7.42578125" customWidth="1"/>
    <col min="176" max="176" width="6.5703125" customWidth="1"/>
    <col min="177" max="177" width="9" customWidth="1"/>
    <col min="178" max="178" width="7.42578125" customWidth="1"/>
    <col min="179" max="179" width="9.85546875" customWidth="1"/>
    <col min="180" max="180" width="9" customWidth="1"/>
    <col min="181" max="181" width="7.42578125" customWidth="1"/>
    <col min="182" max="182" width="8" customWidth="1"/>
    <col min="183" max="183" width="12.85546875" bestFit="1" customWidth="1"/>
    <col min="184" max="184" width="9.140625" customWidth="1"/>
    <col min="185" max="185" width="6.85546875" customWidth="1"/>
    <col min="186" max="186" width="8.85546875" customWidth="1"/>
    <col min="187" max="187" width="7.42578125" customWidth="1"/>
    <col min="188" max="188" width="7.28515625" customWidth="1"/>
    <col min="189" max="189" width="8.85546875" customWidth="1"/>
    <col min="190" max="190" width="7.42578125" customWidth="1"/>
    <col min="191" max="191" width="7.28515625" customWidth="1"/>
    <col min="192" max="192" width="8.28515625" customWidth="1"/>
    <col min="193" max="193" width="7.42578125" customWidth="1"/>
    <col min="194" max="194" width="9.85546875" customWidth="1"/>
    <col min="195" max="195" width="9" customWidth="1"/>
    <col min="196" max="196" width="7.42578125" customWidth="1"/>
    <col min="197" max="197" width="9.7109375" bestFit="1" customWidth="1"/>
    <col min="198" max="198" width="12" bestFit="1" customWidth="1"/>
    <col min="199" max="199" width="9.140625" customWidth="1"/>
    <col min="200" max="200" width="9.5703125" bestFit="1" customWidth="1"/>
    <col min="201" max="201" width="8.85546875" bestFit="1" customWidth="1"/>
    <col min="202" max="202" width="7.42578125" bestFit="1" customWidth="1"/>
    <col min="203" max="203" width="7.5703125" bestFit="1" customWidth="1"/>
    <col min="204" max="204" width="8.85546875" bestFit="1" customWidth="1"/>
    <col min="205" max="205" width="7.42578125" bestFit="1" customWidth="1"/>
    <col min="206" max="206" width="7.5703125" bestFit="1" customWidth="1"/>
    <col min="207" max="207" width="8.85546875" bestFit="1" customWidth="1"/>
    <col min="208" max="208" width="7.42578125" bestFit="1" customWidth="1"/>
    <col min="209" max="209" width="9.85546875" bestFit="1" customWidth="1"/>
    <col min="210" max="210" width="9" bestFit="1" customWidth="1"/>
    <col min="211" max="211" width="7.42578125" bestFit="1" customWidth="1"/>
    <col min="212" max="212" width="10.28515625" bestFit="1" customWidth="1"/>
    <col min="213" max="213" width="9" bestFit="1" customWidth="1"/>
    <col min="214" max="214" width="12.5703125" bestFit="1" customWidth="1"/>
  </cols>
  <sheetData>
    <row r="1" spans="1:214" ht="14.25" thickTop="1" thickBot="1" x14ac:dyDescent="0.25">
      <c r="A1" s="439" t="s">
        <v>424</v>
      </c>
      <c r="B1" s="440"/>
      <c r="C1" s="441"/>
      <c r="D1" s="98" t="s">
        <v>3</v>
      </c>
      <c r="E1" s="99"/>
      <c r="F1" s="99" t="s">
        <v>0</v>
      </c>
      <c r="G1" s="260" t="s">
        <v>3</v>
      </c>
      <c r="H1" s="114"/>
      <c r="I1" s="114" t="s">
        <v>0</v>
      </c>
      <c r="J1" s="257" t="s">
        <v>3</v>
      </c>
      <c r="K1" s="104"/>
      <c r="L1" s="105" t="s">
        <v>0</v>
      </c>
      <c r="M1" s="117" t="s">
        <v>13</v>
      </c>
      <c r="N1" s="118" t="s">
        <v>14</v>
      </c>
      <c r="O1" s="118" t="s">
        <v>0</v>
      </c>
      <c r="P1" s="252" t="s">
        <v>13</v>
      </c>
      <c r="Q1" s="118" t="s">
        <v>141</v>
      </c>
      <c r="R1" s="118" t="s">
        <v>0</v>
      </c>
      <c r="S1" s="252" t="s">
        <v>13</v>
      </c>
      <c r="T1" s="118" t="s">
        <v>16</v>
      </c>
      <c r="U1" s="119" t="s">
        <v>0</v>
      </c>
      <c r="V1" s="88" t="s">
        <v>1</v>
      </c>
      <c r="W1" s="89" t="s">
        <v>2</v>
      </c>
      <c r="X1" s="89" t="s">
        <v>0</v>
      </c>
      <c r="Y1" s="248" t="s">
        <v>1</v>
      </c>
      <c r="Z1" s="89" t="s">
        <v>4</v>
      </c>
      <c r="AA1" s="90" t="s">
        <v>0</v>
      </c>
      <c r="AB1" s="149" t="s">
        <v>1</v>
      </c>
      <c r="AC1" s="243" t="s">
        <v>4</v>
      </c>
      <c r="AD1" s="240" t="s">
        <v>5</v>
      </c>
      <c r="AE1" s="243" t="s">
        <v>2</v>
      </c>
      <c r="AF1" s="243" t="s">
        <v>7</v>
      </c>
      <c r="AG1" s="240" t="s">
        <v>6</v>
      </c>
      <c r="AH1" s="163" t="s">
        <v>15</v>
      </c>
      <c r="AI1" s="133" t="s">
        <v>13</v>
      </c>
      <c r="AJ1" s="134" t="s">
        <v>14</v>
      </c>
      <c r="AK1" s="134" t="s">
        <v>0</v>
      </c>
      <c r="AL1" s="233" t="s">
        <v>13</v>
      </c>
      <c r="AM1" s="134" t="s">
        <v>141</v>
      </c>
      <c r="AN1" s="134" t="s">
        <v>0</v>
      </c>
      <c r="AO1" s="233" t="s">
        <v>13</v>
      </c>
      <c r="AP1" s="134" t="s">
        <v>16</v>
      </c>
      <c r="AQ1" s="135" t="s">
        <v>0</v>
      </c>
      <c r="AR1" s="141" t="s">
        <v>13</v>
      </c>
      <c r="AS1" s="142" t="s">
        <v>14</v>
      </c>
      <c r="AT1" s="142" t="s">
        <v>0</v>
      </c>
      <c r="AU1" s="236" t="s">
        <v>13</v>
      </c>
      <c r="AV1" s="142" t="s">
        <v>141</v>
      </c>
      <c r="AW1" s="142" t="s">
        <v>0</v>
      </c>
      <c r="AX1" s="236" t="s">
        <v>13</v>
      </c>
      <c r="AY1" s="142" t="s">
        <v>16</v>
      </c>
      <c r="AZ1" s="143" t="s">
        <v>0</v>
      </c>
      <c r="BA1" s="141" t="s">
        <v>13</v>
      </c>
      <c r="BB1" s="142" t="s">
        <v>14</v>
      </c>
      <c r="BC1" s="142" t="s">
        <v>0</v>
      </c>
      <c r="BD1" s="236" t="s">
        <v>13</v>
      </c>
      <c r="BE1" s="142" t="s">
        <v>141</v>
      </c>
      <c r="BF1" s="142" t="s">
        <v>0</v>
      </c>
      <c r="BG1" s="236" t="s">
        <v>13</v>
      </c>
      <c r="BH1" s="142" t="s">
        <v>16</v>
      </c>
      <c r="BI1" s="143" t="s">
        <v>0</v>
      </c>
      <c r="BJ1" s="141" t="s">
        <v>13</v>
      </c>
      <c r="BK1" s="142" t="s">
        <v>14</v>
      </c>
      <c r="BL1" s="142" t="s">
        <v>0</v>
      </c>
      <c r="BM1" s="236" t="s">
        <v>13</v>
      </c>
      <c r="BN1" s="142" t="s">
        <v>141</v>
      </c>
      <c r="BO1" s="142" t="s">
        <v>0</v>
      </c>
      <c r="BP1" s="236" t="s">
        <v>13</v>
      </c>
      <c r="BQ1" s="142" t="s">
        <v>16</v>
      </c>
      <c r="BR1" s="143" t="s">
        <v>0</v>
      </c>
      <c r="BS1" s="230" t="s">
        <v>8</v>
      </c>
      <c r="BT1" s="76"/>
      <c r="BU1" s="76" t="s">
        <v>0</v>
      </c>
      <c r="BV1" s="230" t="s">
        <v>8</v>
      </c>
      <c r="BW1" s="76"/>
      <c r="BX1" s="76" t="s">
        <v>0</v>
      </c>
      <c r="BY1" s="230" t="s">
        <v>397</v>
      </c>
      <c r="BZ1" s="76"/>
      <c r="CA1" s="76" t="s">
        <v>0</v>
      </c>
      <c r="CB1" s="230" t="s">
        <v>8</v>
      </c>
      <c r="CC1" s="76" t="s">
        <v>14</v>
      </c>
      <c r="CD1" s="76" t="s">
        <v>0</v>
      </c>
      <c r="CE1" s="230" t="s">
        <v>8</v>
      </c>
      <c r="CF1" s="76" t="s">
        <v>141</v>
      </c>
      <c r="CG1" s="76" t="s">
        <v>0</v>
      </c>
      <c r="CH1" s="230" t="s">
        <v>8</v>
      </c>
      <c r="CI1" s="76" t="s">
        <v>16</v>
      </c>
      <c r="CJ1" s="77" t="s">
        <v>0</v>
      </c>
      <c r="CK1" s="230" t="s">
        <v>8</v>
      </c>
      <c r="CL1" s="76" t="s">
        <v>301</v>
      </c>
      <c r="CM1" s="77" t="s">
        <v>0</v>
      </c>
      <c r="CN1" s="230" t="s">
        <v>8</v>
      </c>
      <c r="CO1" s="76" t="s">
        <v>301</v>
      </c>
      <c r="CP1" s="77" t="s">
        <v>0</v>
      </c>
      <c r="CQ1" s="230" t="s">
        <v>8</v>
      </c>
      <c r="CR1" s="76" t="s">
        <v>301</v>
      </c>
      <c r="CS1" s="77" t="s">
        <v>0</v>
      </c>
      <c r="CT1" s="382" t="s">
        <v>295</v>
      </c>
      <c r="CU1" s="383"/>
      <c r="CV1" s="384" t="s">
        <v>0</v>
      </c>
      <c r="CW1" s="265" t="s">
        <v>295</v>
      </c>
      <c r="CX1" s="174"/>
      <c r="CY1" s="174" t="s">
        <v>0</v>
      </c>
      <c r="CZ1" s="268" t="s">
        <v>9</v>
      </c>
      <c r="DA1" s="178"/>
      <c r="DB1" s="179" t="s">
        <v>0</v>
      </c>
      <c r="DC1" s="307" t="s">
        <v>9</v>
      </c>
      <c r="DD1" s="307"/>
      <c r="DE1" s="307" t="s">
        <v>0</v>
      </c>
      <c r="DF1" s="27" t="s">
        <v>9</v>
      </c>
      <c r="DG1" s="28" t="s">
        <v>10</v>
      </c>
      <c r="DH1" s="28" t="s">
        <v>0</v>
      </c>
      <c r="DI1" s="226" t="s">
        <v>9</v>
      </c>
      <c r="DJ1" s="28" t="s">
        <v>11</v>
      </c>
      <c r="DK1" s="28" t="s">
        <v>0</v>
      </c>
      <c r="DL1" s="226" t="s">
        <v>9</v>
      </c>
      <c r="DM1" s="28" t="s">
        <v>12</v>
      </c>
      <c r="DN1" s="28" t="s">
        <v>0</v>
      </c>
      <c r="DO1" s="226" t="s">
        <v>9</v>
      </c>
      <c r="DP1" s="28" t="s">
        <v>12</v>
      </c>
      <c r="DQ1" s="29" t="s">
        <v>0</v>
      </c>
      <c r="DR1" s="23" t="s">
        <v>9</v>
      </c>
      <c r="DS1" s="23"/>
      <c r="DT1" s="23" t="s">
        <v>0</v>
      </c>
      <c r="DU1" s="315" t="s">
        <v>9</v>
      </c>
      <c r="DV1" s="316" t="s">
        <v>10</v>
      </c>
      <c r="DW1" s="316" t="s">
        <v>0</v>
      </c>
      <c r="DX1" s="317" t="s">
        <v>9</v>
      </c>
      <c r="DY1" s="316" t="s">
        <v>11</v>
      </c>
      <c r="DZ1" s="316" t="s">
        <v>0</v>
      </c>
      <c r="EA1" s="317" t="s">
        <v>9</v>
      </c>
      <c r="EB1" s="316" t="s">
        <v>12</v>
      </c>
      <c r="EC1" s="316" t="s">
        <v>0</v>
      </c>
      <c r="ED1" s="317" t="s">
        <v>9</v>
      </c>
      <c r="EE1" s="316" t="s">
        <v>12</v>
      </c>
      <c r="EF1" s="318" t="s">
        <v>0</v>
      </c>
      <c r="EG1" s="18" t="s">
        <v>9</v>
      </c>
      <c r="EH1" s="18"/>
      <c r="EI1" s="18" t="s">
        <v>0</v>
      </c>
      <c r="EJ1" s="332" t="s">
        <v>9</v>
      </c>
      <c r="EK1" s="333" t="s">
        <v>10</v>
      </c>
      <c r="EL1" s="333" t="s">
        <v>0</v>
      </c>
      <c r="EM1" s="334" t="s">
        <v>9</v>
      </c>
      <c r="EN1" s="333" t="s">
        <v>11</v>
      </c>
      <c r="EO1" s="333" t="s">
        <v>0</v>
      </c>
      <c r="EP1" s="334" t="s">
        <v>9</v>
      </c>
      <c r="EQ1" s="333" t="s">
        <v>12</v>
      </c>
      <c r="ER1" s="333" t="s">
        <v>0</v>
      </c>
      <c r="ES1" s="334" t="s">
        <v>9</v>
      </c>
      <c r="ET1" s="333" t="s">
        <v>12</v>
      </c>
      <c r="EU1" s="335" t="s">
        <v>0</v>
      </c>
      <c r="EV1" s="37" t="s">
        <v>9</v>
      </c>
      <c r="EW1" s="37"/>
      <c r="EX1" s="37" t="s">
        <v>0</v>
      </c>
      <c r="EY1" s="192" t="s">
        <v>9</v>
      </c>
      <c r="EZ1" s="193" t="s">
        <v>10</v>
      </c>
      <c r="FA1" s="193" t="s">
        <v>0</v>
      </c>
      <c r="FB1" s="221" t="s">
        <v>9</v>
      </c>
      <c r="FC1" s="193" t="s">
        <v>11</v>
      </c>
      <c r="FD1" s="193" t="s">
        <v>0</v>
      </c>
      <c r="FE1" s="221" t="s">
        <v>9</v>
      </c>
      <c r="FF1" s="193" t="s">
        <v>12</v>
      </c>
      <c r="FG1" s="193" t="s">
        <v>0</v>
      </c>
      <c r="FH1" s="221" t="s">
        <v>9</v>
      </c>
      <c r="FI1" s="193" t="s">
        <v>12</v>
      </c>
      <c r="FJ1" s="194" t="s">
        <v>0</v>
      </c>
      <c r="FK1" s="41" t="s">
        <v>9</v>
      </c>
      <c r="FL1" s="42"/>
      <c r="FM1" s="43" t="s">
        <v>0</v>
      </c>
      <c r="FN1" s="204" t="s">
        <v>9</v>
      </c>
      <c r="FO1" s="205" t="s">
        <v>10</v>
      </c>
      <c r="FP1" s="205" t="s">
        <v>0</v>
      </c>
      <c r="FQ1" s="216" t="s">
        <v>9</v>
      </c>
      <c r="FR1" s="205" t="s">
        <v>11</v>
      </c>
      <c r="FS1" s="205" t="s">
        <v>0</v>
      </c>
      <c r="FT1" s="216" t="s">
        <v>9</v>
      </c>
      <c r="FU1" s="205" t="s">
        <v>12</v>
      </c>
      <c r="FV1" s="205" t="s">
        <v>0</v>
      </c>
      <c r="FW1" s="216" t="s">
        <v>9</v>
      </c>
      <c r="FX1" s="205" t="s">
        <v>12</v>
      </c>
      <c r="FY1" s="206" t="s">
        <v>0</v>
      </c>
      <c r="FZ1" s="53" t="s">
        <v>9</v>
      </c>
      <c r="GA1" s="54"/>
      <c r="GB1" s="55" t="s">
        <v>0</v>
      </c>
      <c r="GC1" s="272" t="s">
        <v>9</v>
      </c>
      <c r="GD1" s="273" t="s">
        <v>10</v>
      </c>
      <c r="GE1" s="273" t="s">
        <v>0</v>
      </c>
      <c r="GF1" s="284" t="s">
        <v>9</v>
      </c>
      <c r="GG1" s="273" t="s">
        <v>11</v>
      </c>
      <c r="GH1" s="273" t="s">
        <v>0</v>
      </c>
      <c r="GI1" s="284" t="s">
        <v>9</v>
      </c>
      <c r="GJ1" s="273" t="s">
        <v>12</v>
      </c>
      <c r="GK1" s="273" t="s">
        <v>0</v>
      </c>
      <c r="GL1" s="284" t="s">
        <v>9</v>
      </c>
      <c r="GM1" s="273" t="s">
        <v>12</v>
      </c>
      <c r="GN1" s="274" t="s">
        <v>0</v>
      </c>
      <c r="GO1" s="65" t="s">
        <v>9</v>
      </c>
      <c r="GP1" s="66"/>
      <c r="GQ1" s="67" t="s">
        <v>0</v>
      </c>
      <c r="GR1" s="288" t="s">
        <v>9</v>
      </c>
      <c r="GS1" s="289" t="s">
        <v>10</v>
      </c>
      <c r="GT1" s="289" t="s">
        <v>0</v>
      </c>
      <c r="GU1" s="296" t="s">
        <v>9</v>
      </c>
      <c r="GV1" s="289" t="s">
        <v>11</v>
      </c>
      <c r="GW1" s="289" t="s">
        <v>0</v>
      </c>
      <c r="GX1" s="296" t="s">
        <v>9</v>
      </c>
      <c r="GY1" s="289" t="s">
        <v>12</v>
      </c>
      <c r="GZ1" s="289" t="s">
        <v>0</v>
      </c>
      <c r="HA1" s="296" t="s">
        <v>9</v>
      </c>
      <c r="HB1" s="289" t="s">
        <v>12</v>
      </c>
      <c r="HC1" s="289" t="s">
        <v>0</v>
      </c>
      <c r="HD1" s="157" t="s">
        <v>456</v>
      </c>
      <c r="HE1" s="158" t="s">
        <v>0</v>
      </c>
      <c r="HF1" s="159" t="s">
        <v>17</v>
      </c>
    </row>
    <row r="2" spans="1:214" ht="13.5" thickTop="1" x14ac:dyDescent="0.2">
      <c r="A2" s="420" t="s">
        <v>465</v>
      </c>
      <c r="B2" s="415">
        <v>2.41E-4</v>
      </c>
      <c r="C2" s="416"/>
      <c r="D2" s="101" t="s">
        <v>18</v>
      </c>
      <c r="E2" s="101" t="s">
        <v>456</v>
      </c>
      <c r="F2" s="101" t="s">
        <v>19</v>
      </c>
      <c r="G2" s="261" t="s">
        <v>20</v>
      </c>
      <c r="H2" s="115" t="s">
        <v>456</v>
      </c>
      <c r="I2" s="115" t="s">
        <v>21</v>
      </c>
      <c r="J2" s="258" t="s">
        <v>11</v>
      </c>
      <c r="K2" s="107" t="s">
        <v>456</v>
      </c>
      <c r="L2" s="108" t="s">
        <v>22</v>
      </c>
      <c r="M2" s="120" t="s">
        <v>32</v>
      </c>
      <c r="N2" s="121" t="s">
        <v>33</v>
      </c>
      <c r="O2" s="131" t="s">
        <v>22</v>
      </c>
      <c r="P2" s="253" t="s">
        <v>32</v>
      </c>
      <c r="Q2" s="121" t="s">
        <v>33</v>
      </c>
      <c r="R2" s="131" t="s">
        <v>22</v>
      </c>
      <c r="S2" s="253" t="s">
        <v>32</v>
      </c>
      <c r="T2" s="121" t="s">
        <v>33</v>
      </c>
      <c r="U2" s="122" t="s">
        <v>22</v>
      </c>
      <c r="V2" s="91" t="s">
        <v>18</v>
      </c>
      <c r="W2" s="92" t="s">
        <v>456</v>
      </c>
      <c r="X2" s="92" t="s">
        <v>19</v>
      </c>
      <c r="Y2" s="249" t="s">
        <v>18</v>
      </c>
      <c r="Z2" s="92" t="s">
        <v>456</v>
      </c>
      <c r="AA2" s="93" t="s">
        <v>19</v>
      </c>
      <c r="AB2" s="150" t="s">
        <v>11</v>
      </c>
      <c r="AC2" s="244" t="s">
        <v>456</v>
      </c>
      <c r="AD2" s="83" t="s">
        <v>456</v>
      </c>
      <c r="AE2" s="244" t="s">
        <v>456</v>
      </c>
      <c r="AF2" s="244" t="s">
        <v>456</v>
      </c>
      <c r="AG2" s="83" t="s">
        <v>456</v>
      </c>
      <c r="AH2" s="164" t="s">
        <v>22</v>
      </c>
      <c r="AI2" s="136" t="s">
        <v>5</v>
      </c>
      <c r="AJ2" s="84" t="s">
        <v>34</v>
      </c>
      <c r="AK2" s="151" t="s">
        <v>22</v>
      </c>
      <c r="AL2" s="234" t="s">
        <v>5</v>
      </c>
      <c r="AM2" s="84" t="s">
        <v>34</v>
      </c>
      <c r="AN2" s="151" t="s">
        <v>22</v>
      </c>
      <c r="AO2" s="234" t="s">
        <v>5</v>
      </c>
      <c r="AP2" s="84" t="s">
        <v>34</v>
      </c>
      <c r="AQ2" s="137" t="s">
        <v>22</v>
      </c>
      <c r="AR2" s="144" t="s">
        <v>2</v>
      </c>
      <c r="AS2" s="86" t="s">
        <v>34</v>
      </c>
      <c r="AT2" s="152" t="s">
        <v>22</v>
      </c>
      <c r="AU2" s="237" t="s">
        <v>2</v>
      </c>
      <c r="AV2" s="86" t="s">
        <v>34</v>
      </c>
      <c r="AW2" s="152" t="s">
        <v>22</v>
      </c>
      <c r="AX2" s="237" t="s">
        <v>2</v>
      </c>
      <c r="AY2" s="86" t="s">
        <v>34</v>
      </c>
      <c r="AZ2" s="145" t="s">
        <v>22</v>
      </c>
      <c r="BA2" s="144" t="s">
        <v>4</v>
      </c>
      <c r="BB2" s="86" t="s">
        <v>34</v>
      </c>
      <c r="BC2" s="152" t="s">
        <v>22</v>
      </c>
      <c r="BD2" s="237" t="s">
        <v>4</v>
      </c>
      <c r="BE2" s="86" t="s">
        <v>34</v>
      </c>
      <c r="BF2" s="152" t="s">
        <v>22</v>
      </c>
      <c r="BG2" s="237" t="s">
        <v>4</v>
      </c>
      <c r="BH2" s="86" t="s">
        <v>34</v>
      </c>
      <c r="BI2" s="145" t="s">
        <v>22</v>
      </c>
      <c r="BJ2" s="144" t="s">
        <v>222</v>
      </c>
      <c r="BK2" s="86" t="s">
        <v>34</v>
      </c>
      <c r="BL2" s="152" t="s">
        <v>22</v>
      </c>
      <c r="BM2" s="237" t="s">
        <v>222</v>
      </c>
      <c r="BN2" s="86" t="s">
        <v>34</v>
      </c>
      <c r="BO2" s="152" t="s">
        <v>22</v>
      </c>
      <c r="BP2" s="237" t="s">
        <v>222</v>
      </c>
      <c r="BQ2" s="86" t="s">
        <v>34</v>
      </c>
      <c r="BR2" s="145" t="s">
        <v>22</v>
      </c>
      <c r="BS2" s="231" t="s">
        <v>18</v>
      </c>
      <c r="BT2" s="78" t="s">
        <v>456</v>
      </c>
      <c r="BU2" s="155" t="s">
        <v>19</v>
      </c>
      <c r="BV2" s="231" t="s">
        <v>23</v>
      </c>
      <c r="BW2" s="78" t="s">
        <v>456</v>
      </c>
      <c r="BX2" s="155" t="s">
        <v>21</v>
      </c>
      <c r="BY2" s="231" t="s">
        <v>11</v>
      </c>
      <c r="BZ2" s="78" t="s">
        <v>456</v>
      </c>
      <c r="CA2" s="155" t="s">
        <v>22</v>
      </c>
      <c r="CB2" s="231" t="s">
        <v>32</v>
      </c>
      <c r="CC2" s="78" t="s">
        <v>13</v>
      </c>
      <c r="CD2" s="155" t="s">
        <v>22</v>
      </c>
      <c r="CE2" s="231" t="s">
        <v>32</v>
      </c>
      <c r="CF2" s="78" t="s">
        <v>13</v>
      </c>
      <c r="CG2" s="155" t="s">
        <v>22</v>
      </c>
      <c r="CH2" s="231" t="s">
        <v>32</v>
      </c>
      <c r="CI2" s="78" t="s">
        <v>13</v>
      </c>
      <c r="CJ2" s="79" t="s">
        <v>22</v>
      </c>
      <c r="CK2" s="231" t="s">
        <v>303</v>
      </c>
      <c r="CL2" s="78"/>
      <c r="CM2" s="79" t="s">
        <v>22</v>
      </c>
      <c r="CN2" s="231" t="s">
        <v>11</v>
      </c>
      <c r="CO2" s="78"/>
      <c r="CP2" s="79" t="s">
        <v>22</v>
      </c>
      <c r="CQ2" s="231" t="s">
        <v>10</v>
      </c>
      <c r="CR2" s="78"/>
      <c r="CS2" s="79" t="s">
        <v>22</v>
      </c>
      <c r="CT2" s="385" t="s">
        <v>11</v>
      </c>
      <c r="CU2" s="386" t="s">
        <v>456</v>
      </c>
      <c r="CV2" s="387" t="s">
        <v>22</v>
      </c>
      <c r="CW2" s="266" t="s">
        <v>18</v>
      </c>
      <c r="CX2" s="175" t="s">
        <v>456</v>
      </c>
      <c r="CY2" s="175" t="s">
        <v>19</v>
      </c>
      <c r="CZ2" s="269" t="s">
        <v>20</v>
      </c>
      <c r="DA2" s="180" t="s">
        <v>456</v>
      </c>
      <c r="DB2" s="181" t="s">
        <v>25</v>
      </c>
      <c r="DC2" s="308" t="s">
        <v>26</v>
      </c>
      <c r="DD2" s="308" t="s">
        <v>456</v>
      </c>
      <c r="DE2" s="308" t="s">
        <v>25</v>
      </c>
      <c r="DF2" s="30" t="s">
        <v>26</v>
      </c>
      <c r="DG2" s="31" t="s">
        <v>456</v>
      </c>
      <c r="DH2" s="31" t="s">
        <v>29</v>
      </c>
      <c r="DI2" s="227" t="s">
        <v>26</v>
      </c>
      <c r="DJ2" s="31" t="s">
        <v>456</v>
      </c>
      <c r="DK2" s="31" t="s">
        <v>29</v>
      </c>
      <c r="DL2" s="227" t="s">
        <v>26</v>
      </c>
      <c r="DM2" s="31" t="s">
        <v>30</v>
      </c>
      <c r="DN2" s="31" t="s">
        <v>29</v>
      </c>
      <c r="DO2" s="227" t="s">
        <v>26</v>
      </c>
      <c r="DP2" s="31" t="s">
        <v>31</v>
      </c>
      <c r="DQ2" s="32" t="s">
        <v>29</v>
      </c>
      <c r="DR2" s="24" t="s">
        <v>27</v>
      </c>
      <c r="DS2" s="24" t="s">
        <v>456</v>
      </c>
      <c r="DT2" s="24" t="s">
        <v>25</v>
      </c>
      <c r="DU2" s="319" t="s">
        <v>27</v>
      </c>
      <c r="DV2" s="320" t="s">
        <v>456</v>
      </c>
      <c r="DW2" s="320" t="s">
        <v>29</v>
      </c>
      <c r="DX2" s="314" t="s">
        <v>27</v>
      </c>
      <c r="DY2" s="320" t="s">
        <v>456</v>
      </c>
      <c r="DZ2" s="320" t="s">
        <v>29</v>
      </c>
      <c r="EA2" s="314" t="s">
        <v>27</v>
      </c>
      <c r="EB2" s="320" t="s">
        <v>30</v>
      </c>
      <c r="EC2" s="320" t="s">
        <v>29</v>
      </c>
      <c r="ED2" s="314" t="s">
        <v>27</v>
      </c>
      <c r="EE2" s="320" t="s">
        <v>31</v>
      </c>
      <c r="EF2" s="321" t="s">
        <v>29</v>
      </c>
      <c r="EG2" s="19" t="s">
        <v>28</v>
      </c>
      <c r="EH2" s="19" t="s">
        <v>456</v>
      </c>
      <c r="EI2" s="19" t="s">
        <v>25</v>
      </c>
      <c r="EJ2" s="336" t="s">
        <v>28</v>
      </c>
      <c r="EK2" s="337" t="s">
        <v>456</v>
      </c>
      <c r="EL2" s="337" t="s">
        <v>29</v>
      </c>
      <c r="EM2" s="331" t="s">
        <v>28</v>
      </c>
      <c r="EN2" s="337" t="s">
        <v>456</v>
      </c>
      <c r="EO2" s="337" t="s">
        <v>29</v>
      </c>
      <c r="EP2" s="331" t="s">
        <v>28</v>
      </c>
      <c r="EQ2" s="337" t="s">
        <v>30</v>
      </c>
      <c r="ER2" s="337" t="s">
        <v>29</v>
      </c>
      <c r="ES2" s="331" t="s">
        <v>28</v>
      </c>
      <c r="ET2" s="337" t="s">
        <v>31</v>
      </c>
      <c r="EU2" s="338" t="s">
        <v>29</v>
      </c>
      <c r="EV2" s="38" t="s">
        <v>230</v>
      </c>
      <c r="EW2" s="38" t="s">
        <v>456</v>
      </c>
      <c r="EX2" s="38" t="s">
        <v>25</v>
      </c>
      <c r="EY2" s="195" t="s">
        <v>230</v>
      </c>
      <c r="EZ2" s="196" t="s">
        <v>456</v>
      </c>
      <c r="FA2" s="196" t="s">
        <v>29</v>
      </c>
      <c r="FB2" s="222" t="s">
        <v>230</v>
      </c>
      <c r="FC2" s="196" t="s">
        <v>456</v>
      </c>
      <c r="FD2" s="196" t="s">
        <v>29</v>
      </c>
      <c r="FE2" s="222" t="s">
        <v>230</v>
      </c>
      <c r="FF2" s="196" t="s">
        <v>30</v>
      </c>
      <c r="FG2" s="196" t="s">
        <v>29</v>
      </c>
      <c r="FH2" s="222" t="s">
        <v>230</v>
      </c>
      <c r="FI2" s="196" t="s">
        <v>31</v>
      </c>
      <c r="FJ2" s="197" t="s">
        <v>29</v>
      </c>
      <c r="FK2" s="44" t="s">
        <v>150</v>
      </c>
      <c r="FL2" s="45" t="s">
        <v>456</v>
      </c>
      <c r="FM2" s="46" t="s">
        <v>25</v>
      </c>
      <c r="FN2" s="207" t="s">
        <v>150</v>
      </c>
      <c r="FO2" s="208" t="s">
        <v>456</v>
      </c>
      <c r="FP2" s="208" t="s">
        <v>29</v>
      </c>
      <c r="FQ2" s="217" t="s">
        <v>150</v>
      </c>
      <c r="FR2" s="208" t="s">
        <v>456</v>
      </c>
      <c r="FS2" s="208" t="s">
        <v>29</v>
      </c>
      <c r="FT2" s="217" t="s">
        <v>150</v>
      </c>
      <c r="FU2" s="208" t="s">
        <v>30</v>
      </c>
      <c r="FV2" s="208" t="s">
        <v>29</v>
      </c>
      <c r="FW2" s="217" t="s">
        <v>150</v>
      </c>
      <c r="FX2" s="208" t="s">
        <v>31</v>
      </c>
      <c r="FY2" s="209" t="s">
        <v>29</v>
      </c>
      <c r="FZ2" s="56" t="s">
        <v>231</v>
      </c>
      <c r="GA2" s="57" t="s">
        <v>456</v>
      </c>
      <c r="GB2" s="58" t="s">
        <v>25</v>
      </c>
      <c r="GC2" s="275" t="s">
        <v>231</v>
      </c>
      <c r="GD2" s="276" t="s">
        <v>456</v>
      </c>
      <c r="GE2" s="276" t="s">
        <v>29</v>
      </c>
      <c r="GF2" s="285" t="s">
        <v>231</v>
      </c>
      <c r="GG2" s="276" t="s">
        <v>456</v>
      </c>
      <c r="GH2" s="276" t="s">
        <v>29</v>
      </c>
      <c r="GI2" s="285" t="s">
        <v>231</v>
      </c>
      <c r="GJ2" s="276" t="s">
        <v>30</v>
      </c>
      <c r="GK2" s="276" t="s">
        <v>29</v>
      </c>
      <c r="GL2" s="285" t="s">
        <v>231</v>
      </c>
      <c r="GM2" s="276" t="s">
        <v>31</v>
      </c>
      <c r="GN2" s="277" t="s">
        <v>29</v>
      </c>
      <c r="GO2" s="22" t="s">
        <v>232</v>
      </c>
      <c r="GP2" s="68" t="s">
        <v>456</v>
      </c>
      <c r="GQ2" s="69" t="s">
        <v>25</v>
      </c>
      <c r="GR2" s="290" t="s">
        <v>232</v>
      </c>
      <c r="GS2" s="291" t="s">
        <v>456</v>
      </c>
      <c r="GT2" s="291" t="s">
        <v>29</v>
      </c>
      <c r="GU2" s="297" t="s">
        <v>232</v>
      </c>
      <c r="GV2" s="291" t="s">
        <v>456</v>
      </c>
      <c r="GW2" s="291" t="s">
        <v>29</v>
      </c>
      <c r="GX2" s="297" t="s">
        <v>232</v>
      </c>
      <c r="GY2" s="291" t="s">
        <v>30</v>
      </c>
      <c r="GZ2" s="291" t="s">
        <v>29</v>
      </c>
      <c r="HA2" s="297" t="s">
        <v>232</v>
      </c>
      <c r="HB2" s="291" t="s">
        <v>31</v>
      </c>
      <c r="HC2" s="291" t="s">
        <v>29</v>
      </c>
      <c r="HD2" s="160" t="s">
        <v>22</v>
      </c>
      <c r="HE2" s="161" t="s">
        <v>33</v>
      </c>
      <c r="HF2" s="162" t="s">
        <v>35</v>
      </c>
    </row>
    <row r="3" spans="1:214" ht="13.5" thickBot="1" x14ac:dyDescent="0.25">
      <c r="A3" s="424" t="s">
        <v>105</v>
      </c>
      <c r="B3" s="417">
        <v>0.753</v>
      </c>
      <c r="C3" s="418"/>
      <c r="D3" s="101" t="s">
        <v>36</v>
      </c>
      <c r="E3" s="408">
        <f>1/((1/E20)+(1/E21))</f>
        <v>1.0418753756564749E-3</v>
      </c>
      <c r="F3" s="168"/>
      <c r="G3" s="261"/>
      <c r="H3" s="408">
        <f>1/((1/H10)+(1/H11)+(1/H12)+(1/H13))</f>
        <v>2.0811349855962289E-3</v>
      </c>
      <c r="I3" s="167"/>
      <c r="J3" s="258"/>
      <c r="K3" s="408">
        <f>1/((1/K14)+(1/K15)+(1/K16+(1/K17)))</f>
        <v>0.81031458874273454</v>
      </c>
      <c r="L3" s="110"/>
      <c r="M3" s="120" t="s">
        <v>475</v>
      </c>
      <c r="N3" s="123">
        <f>(N5*N6*N7)/((1-EXP(-N7*N6))*N10*N15*(N9/365)*N13*((N14*N12)+(N16*N11)))</f>
        <v>139.49949789949497</v>
      </c>
      <c r="O3" s="131"/>
      <c r="P3" s="253" t="s">
        <v>475</v>
      </c>
      <c r="Q3" s="123">
        <f>(Q5*Q6*Q7)/((1-EXP(-Q7*Q6))*Q10*Q15*(Q9/365)*Q13*((Q14*Q12)+(Q16*Q11)))</f>
        <v>285.06853404676309</v>
      </c>
      <c r="R3" s="131"/>
      <c r="S3" s="253" t="s">
        <v>475</v>
      </c>
      <c r="T3" s="123">
        <f>(T5*T6*T7)/((1-EXP(-T7*T6))*T10*T15*(T9/365)*T13*((T14*T12)+(T16*T11)))</f>
        <v>158.6760466937555</v>
      </c>
      <c r="U3" s="122"/>
      <c r="V3" s="91" t="s">
        <v>37</v>
      </c>
      <c r="W3" s="94">
        <f>1/((1/W18)+(1/W19))</f>
        <v>1.4348419707183094E-3</v>
      </c>
      <c r="X3" s="127"/>
      <c r="Y3" s="250" t="s">
        <v>37</v>
      </c>
      <c r="Z3" s="94">
        <f>1/((1/Z18)+(1/Z19))</f>
        <v>1.2913577736464784E-3</v>
      </c>
      <c r="AA3" s="95"/>
      <c r="AB3" s="150"/>
      <c r="AC3" s="245">
        <f>1/((1/AC37)+(1/AC38)+(1/AC39))</f>
        <v>53.492241755236272</v>
      </c>
      <c r="AD3" s="132">
        <f>1/((1/AD37)+(1/AD38)+(1/AD39))</f>
        <v>82.463350662178243</v>
      </c>
      <c r="AE3" s="245">
        <f>1/((1/AE37)+(1/AE38)+(1/AE39))</f>
        <v>59.435824172484736</v>
      </c>
      <c r="AF3" s="245">
        <f>1/((1/AF37)+(1/AF38)+(1/AF39))</f>
        <v>14.252370249545015</v>
      </c>
      <c r="AG3" s="132">
        <f>1/((1/AG37)+(1/AG39)+(1/AG40))</f>
        <v>11.694621026805242</v>
      </c>
      <c r="AH3" s="165"/>
      <c r="AI3" s="136" t="s">
        <v>475</v>
      </c>
      <c r="AJ3" s="85">
        <f>(AJ5*AJ6*AJ7)/((1-EXP(-AJ7*AJ6))*AJ10*AJ15*(AJ9/365)*AJ13*((AJ14*AJ12)+(AJ16*AJ11)))</f>
        <v>399.87535526282801</v>
      </c>
      <c r="AK3" s="151"/>
      <c r="AL3" s="234" t="s">
        <v>475</v>
      </c>
      <c r="AM3" s="85">
        <f>(AM5*AM6*AM7)/((1-EXP(-AM7*AM6))*AM10*AM15*(AM9/365)*AM13*((AM14*AM12)+(AM16*AM11)))</f>
        <v>817.1219708020468</v>
      </c>
      <c r="AN3" s="151"/>
      <c r="AO3" s="234" t="s">
        <v>475</v>
      </c>
      <c r="AP3" s="85">
        <f>(AP5*AP6*AP7)/((1-EXP(-AP7*AP6))*AP10*AP15*(AP9/365)*AP13*((AP14*AP12)+(AP16*AP11)))</f>
        <v>454.84311557841306</v>
      </c>
      <c r="AQ3" s="137"/>
      <c r="AR3" s="144" t="s">
        <v>475</v>
      </c>
      <c r="AS3" s="87">
        <f>(AS5*AS6*AS7)/((1-EXP(-AS7*AS6))*AS10*AS15*(AS9/365)*AS13*((AS14*AS12)+(AS16*AS11)))</f>
        <v>737437.26189548732</v>
      </c>
      <c r="AT3" s="152"/>
      <c r="AU3" s="237" t="s">
        <v>475</v>
      </c>
      <c r="AV3" s="87">
        <f>(AV5*AV6*AV7)/((1-EXP(-AV7*AV6))*AV10*AV15*(AV9/365)*AV13*((AV14*AV12)+(AV16*AV11)))</f>
        <v>3103977.0970638059</v>
      </c>
      <c r="AW3" s="152"/>
      <c r="AX3" s="237" t="s">
        <v>475</v>
      </c>
      <c r="AY3" s="87">
        <f>(AY5*AY6*AY7)/((1-EXP(-AY7*AY6))*AY10*AY15*(AY9/365)*AY13*((AY14*AY12)+(AY16*AY11)))</f>
        <v>894480.06996738072</v>
      </c>
      <c r="AZ3" s="145"/>
      <c r="BA3" s="144" t="s">
        <v>475</v>
      </c>
      <c r="BB3" s="87">
        <f>(BB5*BB6*BB7)/((1-EXP(-BB7*BB6))*BB10*BB15*(BB9/365)*BB13*((BB14*BB12)+(BB16*BB11)))</f>
        <v>663693.5357059387</v>
      </c>
      <c r="BC3" s="152"/>
      <c r="BD3" s="237" t="s">
        <v>475</v>
      </c>
      <c r="BE3" s="87">
        <f>(BE5*BE6*BE7)/((1-EXP(-BE7*BE6))*BE10*BE15*(BE9/365)*BE13*((BE14*BE12)+(BE16*BE11)))</f>
        <v>2793579.3873574249</v>
      </c>
      <c r="BF3" s="152"/>
      <c r="BG3" s="237" t="s">
        <v>475</v>
      </c>
      <c r="BH3" s="87">
        <f>(BH5*BH6*BH7)/((1-EXP(-BH7*BH6))*BH10*BH15*(BH9/365)*BH13*((BH14*BH12)+(BH16*BH11)))</f>
        <v>805032.0629706427</v>
      </c>
      <c r="BI3" s="145"/>
      <c r="BJ3" s="144" t="s">
        <v>475</v>
      </c>
      <c r="BK3" s="87">
        <f>(BK5*BK6*BK7)/((1-EXP(-BK7*BK6))*BK12*BK16*(BK9/365)*BK14*BK15*BK13)</f>
        <v>651083.17989413277</v>
      </c>
      <c r="BL3" s="152"/>
      <c r="BM3" s="237" t="s">
        <v>475</v>
      </c>
      <c r="BN3" s="87">
        <f>(BN5*BN6*BN7)/((1-EXP(-BN7*BN6))*BN12*BN16*(BN9/365)*BN14*BN15*BN13)</f>
        <v>2740500.6271045725</v>
      </c>
      <c r="BO3" s="152"/>
      <c r="BP3" s="237" t="s">
        <v>475</v>
      </c>
      <c r="BQ3" s="87">
        <f>(BQ5*BQ6*BQ7)/((1-EXP(-BQ7*BQ6))*BQ12*BQ16*(BQ9/365)*BQ14*BQ15*BQ13)</f>
        <v>789736.23709948373</v>
      </c>
      <c r="BR3" s="145"/>
      <c r="BS3" s="231" t="s">
        <v>36</v>
      </c>
      <c r="BT3" s="80">
        <f>1/((1/BT21)+(1/BT22))</f>
        <v>6.8817204300306245E-2</v>
      </c>
      <c r="BU3" s="155"/>
      <c r="BV3" s="231"/>
      <c r="BW3" s="80">
        <f>1/((1/BW10)+(1/BW12))</f>
        <v>9.1554968053596468</v>
      </c>
      <c r="BX3" s="155"/>
      <c r="BY3" s="231"/>
      <c r="BZ3" s="80">
        <f>1/((1/BZ13)+(1/BZ14)+(1/BZ15))</f>
        <v>61.281711734246478</v>
      </c>
      <c r="CA3" s="155"/>
      <c r="CB3" s="231" t="s">
        <v>475</v>
      </c>
      <c r="CC3" s="80">
        <f>(CC5*CC6*CC7)/((1-EXP(-CC7*CC6))*CC10*CC14*(CC9/365)*CC12*(CC13/24)*CC11)</f>
        <v>17712598.790749215</v>
      </c>
      <c r="CD3" s="155"/>
      <c r="CE3" s="231" t="s">
        <v>475</v>
      </c>
      <c r="CF3" s="80">
        <f>(CF5*CF6*CF7)/((1-EXP(-CF7*CF6))*CF10*CF14*(CF9/365)*CF12*(CF13/24)*CF11)</f>
        <v>74554818.174834162</v>
      </c>
      <c r="CG3" s="155"/>
      <c r="CH3" s="231" t="s">
        <v>475</v>
      </c>
      <c r="CI3" s="80">
        <f>(CI5*CI6*CI7)/((1-EXP(-CI7*CI6))*CI10*CI14*(CI9/365)*CI12*(CI13/24)*CI11)</f>
        <v>21484629.844889663</v>
      </c>
      <c r="CJ3" s="79"/>
      <c r="CK3" s="231" t="s">
        <v>456</v>
      </c>
      <c r="CL3" s="80">
        <f>CL5/(CL6*CL7*CL8*CL9)</f>
        <v>18.018018018018019</v>
      </c>
      <c r="CM3" s="79"/>
      <c r="CN3" s="231" t="s">
        <v>456</v>
      </c>
      <c r="CO3" s="80">
        <f>CL3/(CO5*((CO10*CO12*CO13*(CO6+CO7))+(CO11*CO12)))</f>
        <v>84452.861579648554</v>
      </c>
      <c r="CP3" s="79"/>
      <c r="CQ3" s="231" t="s">
        <v>456</v>
      </c>
      <c r="CR3" s="80">
        <f>CL3/(CR5*CR6*(1/CR7))</f>
        <v>105988341.28245893</v>
      </c>
      <c r="CS3" s="79"/>
      <c r="CT3" s="385"/>
      <c r="CU3" s="388">
        <f>1/((1/CU14)+(1/CU15)+(1/CU16+(1/CU17)))</f>
        <v>0.19464471904787289</v>
      </c>
      <c r="CV3" s="389"/>
      <c r="CW3" s="266" t="s">
        <v>36</v>
      </c>
      <c r="CX3" s="176">
        <f>1/((1/CX20)+(1/CX21))</f>
        <v>9.9638809314423057E-4</v>
      </c>
      <c r="CY3" s="263"/>
      <c r="CZ3" s="270"/>
      <c r="DA3" s="182">
        <f>1/((1/DA13)+(1/DA14)+(1/DA15)+(1/DA16))</f>
        <v>1.9894836440098513E-3</v>
      </c>
      <c r="DB3" s="183"/>
      <c r="DC3" s="308"/>
      <c r="DD3" s="313">
        <f>DD7</f>
        <v>5.0953531652970785E-2</v>
      </c>
      <c r="DE3" s="309" t="s">
        <v>384</v>
      </c>
      <c r="DF3" s="30"/>
      <c r="DG3" s="33">
        <f>DD7/((1/DG24)*(DG5+DG6+DG7))</f>
        <v>4.0030697946591474</v>
      </c>
      <c r="DH3" s="186" t="s">
        <v>384</v>
      </c>
      <c r="DI3" s="227"/>
      <c r="DJ3" s="33">
        <f>DD7/(DJ5+DJ6)</f>
        <v>0.19593744146499051</v>
      </c>
      <c r="DK3" s="186" t="s">
        <v>384</v>
      </c>
      <c r="DL3" s="227"/>
      <c r="DM3" s="33">
        <f>(DD7)/(DM5+DM6)</f>
        <v>0.19593744146499051</v>
      </c>
      <c r="DN3" s="186"/>
      <c r="DO3" s="227"/>
      <c r="DP3" s="33">
        <f>-(DP5+DP6+DP7)/(DP23+DP24)</f>
        <v>-49.753026107995034</v>
      </c>
      <c r="DQ3" s="34"/>
      <c r="DR3" s="24"/>
      <c r="DS3" s="25">
        <f>DS7</f>
        <v>6.8805201122763273E-3</v>
      </c>
      <c r="DT3" s="170" t="s">
        <v>384</v>
      </c>
      <c r="DU3" s="319"/>
      <c r="DV3" s="322">
        <f>DS7/(DV5*DV6)</f>
        <v>37.394131044980043</v>
      </c>
      <c r="DW3" s="323"/>
      <c r="DX3" s="314"/>
      <c r="DY3" s="322">
        <f>DS7/(DY9*((DY10*DY12*DY13*(DY5+DY6))+(DY11*DY12)))</f>
        <v>726.3449151545824</v>
      </c>
      <c r="DZ3" s="323" t="s">
        <v>384</v>
      </c>
      <c r="EA3" s="314"/>
      <c r="EB3" s="322">
        <f>DS7/(EB9*((EB10*EB12*EB13*(EB5+EB6))+(EB11*EB12)))</f>
        <v>726.3449151545824</v>
      </c>
      <c r="EC3" s="323"/>
      <c r="ED3" s="314"/>
      <c r="EE3" s="322">
        <f>-EE15/((EE10*EE12*EE13*(EE5+EE6))+(EE11*EE12))</f>
        <v>-19.424035132167891</v>
      </c>
      <c r="EF3" s="324"/>
      <c r="EG3" s="19"/>
      <c r="EH3" s="20">
        <f>EH7</f>
        <v>3.2490291856286088E-2</v>
      </c>
      <c r="EI3" s="189" t="s">
        <v>384</v>
      </c>
      <c r="EJ3" s="336"/>
      <c r="EK3" s="339">
        <f>EH7/(EK5*EK6)</f>
        <v>12.260487492938147</v>
      </c>
      <c r="EL3" s="340"/>
      <c r="EM3" s="331"/>
      <c r="EN3" s="339">
        <f>EH7/(EN9*((EN10*EN12*EN13*(EN5+EN6))+(EN11*EN12)))</f>
        <v>190.94414452788081</v>
      </c>
      <c r="EO3" s="340" t="s">
        <v>384</v>
      </c>
      <c r="EP3" s="331"/>
      <c r="EQ3" s="339">
        <f>EH7/(EQ9*((EQ10*EQ12*EQ13*(EQ5+EQ6))+(EQ11*EQ12)))</f>
        <v>190.94414452788081</v>
      </c>
      <c r="ER3" s="340"/>
      <c r="ES3" s="331"/>
      <c r="ET3" s="339">
        <f>-ET15/((ET10*ET12*ET13*(ET5+ET6))+(ET11*ET12))</f>
        <v>-15.573943910294084</v>
      </c>
      <c r="EU3" s="341"/>
      <c r="EV3" s="191"/>
      <c r="EW3" s="39">
        <f>EW7</f>
        <v>0.10832178395591154</v>
      </c>
      <c r="EX3" s="191" t="s">
        <v>384</v>
      </c>
      <c r="EY3" s="198"/>
      <c r="EZ3" s="199">
        <f>EW7/(EZ5*EZ6*(1/EZ7))</f>
        <v>67701.114972444702</v>
      </c>
      <c r="FA3" s="199"/>
      <c r="FB3" s="223"/>
      <c r="FC3" s="199">
        <f>EW7/(FC9*((FC10*FC12*FC13*(FC5+FC6))+(FC11*FC12)))</f>
        <v>370.96501354764217</v>
      </c>
      <c r="FD3" s="220" t="s">
        <v>384</v>
      </c>
      <c r="FE3" s="225"/>
      <c r="FF3" s="199">
        <f>EW7/(FF9*(FF10*FF12*FF13*(FF5*FF6))+(FF11*FF12))</f>
        <v>4.9234936573751895</v>
      </c>
      <c r="FG3" s="199"/>
      <c r="FH3" s="223"/>
      <c r="FI3" s="199">
        <f>FI15/((FI10*FI12*FI13*(FI5+FI6))+(FI11*FI12))</f>
        <v>5.4794520547945202</v>
      </c>
      <c r="FJ3" s="203"/>
      <c r="FK3" s="47"/>
      <c r="FL3" s="48">
        <f>FL7</f>
        <v>3.5328814471456742E-2</v>
      </c>
      <c r="FM3" s="49"/>
      <c r="FN3" s="210"/>
      <c r="FO3" s="211">
        <f>FL7/(FR5*(1/FO7))</f>
        <v>1.1776271490485581</v>
      </c>
      <c r="FP3" s="211"/>
      <c r="FQ3" s="218"/>
      <c r="FR3" s="211">
        <f>(FL7*FR6)/FR5</f>
        <v>9.6565426221981755E-3</v>
      </c>
      <c r="FS3" s="211"/>
      <c r="FT3" s="218"/>
      <c r="FU3" s="211">
        <f>(FL7*FU15)/FU14</f>
        <v>9.6565426221981755E-3</v>
      </c>
      <c r="FV3" s="211"/>
      <c r="FW3" s="218"/>
      <c r="FX3" s="211">
        <f>-FX29/FX30</f>
        <v>-8.199999999999999E-3</v>
      </c>
      <c r="FY3" s="212"/>
      <c r="FZ3" s="59"/>
      <c r="GA3" s="60">
        <f>GA7</f>
        <v>4.5197768097062517E-2</v>
      </c>
      <c r="GB3" s="61" t="s">
        <v>384</v>
      </c>
      <c r="GC3" s="278"/>
      <c r="GD3" s="279">
        <f>FL7/(GD5*GD6*(1/GD7))</f>
        <v>14720.339363106974</v>
      </c>
      <c r="GE3" s="279"/>
      <c r="GF3" s="286"/>
      <c r="GG3" s="279">
        <f>GA7/((GG9)*((GG10*GG12*GG13*(GG5+GG6))+(GG11*GG12)))</f>
        <v>103.19125136315641</v>
      </c>
      <c r="GH3" s="279" t="s">
        <v>384</v>
      </c>
      <c r="GI3" s="286"/>
      <c r="GJ3" s="279">
        <f>FL7/(GJ9*(GJ10*GJ12*GJ13*(GJ5*GJ6))+(GJ11*GJ12))</f>
        <v>1.6057457205852665</v>
      </c>
      <c r="GK3" s="279"/>
      <c r="GL3" s="286"/>
      <c r="GM3" s="279">
        <f>GM15/((GM10*GM12*GM13*(GM5+GM6))+(GM11*GM12))</f>
        <v>5.4794520547945202</v>
      </c>
      <c r="GN3" s="280"/>
      <c r="GO3" s="70"/>
      <c r="GP3" s="71">
        <f>GP7</f>
        <v>5.8186061489116814E-2</v>
      </c>
      <c r="GQ3" s="72" t="s">
        <v>384</v>
      </c>
      <c r="GR3" s="292"/>
      <c r="GS3" s="293">
        <f>GP7/(GS5*GS6*(1/GS7))</f>
        <v>30023.767538243967</v>
      </c>
      <c r="GT3" s="293"/>
      <c r="GU3" s="298"/>
      <c r="GV3" s="293">
        <f>GP7/((GV9)*((GV10*GV12*GV13*(GV5+GV6))+(GV11*GV12)))</f>
        <v>218.215460590361</v>
      </c>
      <c r="GW3" s="293" t="s">
        <v>384</v>
      </c>
      <c r="GX3" s="298"/>
      <c r="GY3" s="293">
        <f>GP7/((GY9*((GY10*GY12*GY13*(GY5+GY6))+(GY11*GY12))))</f>
        <v>218.215460590361</v>
      </c>
      <c r="GZ3" s="293"/>
      <c r="HA3" s="298"/>
      <c r="HB3" s="293">
        <f>GP7/((HB10*HB12*HB13*(HB5+HB6))+(HB11*HB12))</f>
        <v>3.7096628300361367E-2</v>
      </c>
      <c r="HC3" s="300"/>
      <c r="HD3" s="302">
        <f>HE5*HE13*10^-3*(HE14+(HE9/HE10))*((HE11*HE7)/(1-EXP(-HE7*HE11)))</f>
        <v>1.2864589011367369</v>
      </c>
      <c r="HE3" s="303"/>
      <c r="HF3" s="162" t="s">
        <v>38</v>
      </c>
    </row>
    <row r="4" spans="1:214" ht="14.25" thickTop="1" thickBot="1" x14ac:dyDescent="0.25">
      <c r="A4" s="439" t="s">
        <v>425</v>
      </c>
      <c r="B4" s="440"/>
      <c r="C4" s="441"/>
      <c r="D4" s="425" t="s">
        <v>37</v>
      </c>
      <c r="E4" s="409">
        <f>1/((1/E22)+(1/E23))</f>
        <v>1.0419081950756397E-3</v>
      </c>
      <c r="F4" s="256"/>
      <c r="G4" s="262"/>
      <c r="H4" s="116"/>
      <c r="I4" s="255"/>
      <c r="J4" s="259" t="s">
        <v>0</v>
      </c>
      <c r="K4" s="112" t="s">
        <v>33</v>
      </c>
      <c r="L4" s="113"/>
      <c r="M4" s="124"/>
      <c r="N4" s="125"/>
      <c r="O4" s="169"/>
      <c r="P4" s="254"/>
      <c r="Q4" s="125"/>
      <c r="R4" s="169"/>
      <c r="S4" s="254"/>
      <c r="T4" s="125"/>
      <c r="U4" s="126"/>
      <c r="V4" s="130" t="s">
        <v>36</v>
      </c>
      <c r="W4" s="96">
        <f>1/((1/W16)+(1/W17))</f>
        <v>1.4336917230328848E-3</v>
      </c>
      <c r="X4" s="128"/>
      <c r="Y4" s="251" t="s">
        <v>36</v>
      </c>
      <c r="Z4" s="96">
        <f>1/((1/Z16)+(1/Z17))</f>
        <v>1.2903225507295965E-3</v>
      </c>
      <c r="AA4" s="97"/>
      <c r="AB4" s="239" t="s">
        <v>0</v>
      </c>
      <c r="AC4" s="246" t="s">
        <v>39</v>
      </c>
      <c r="AD4" s="241" t="s">
        <v>40</v>
      </c>
      <c r="AE4" s="246" t="s">
        <v>41</v>
      </c>
      <c r="AF4" s="247" t="s">
        <v>42</v>
      </c>
      <c r="AG4" s="242" t="s">
        <v>42</v>
      </c>
      <c r="AH4" s="166"/>
      <c r="AI4" s="138" t="s">
        <v>32</v>
      </c>
      <c r="AJ4" s="139"/>
      <c r="AK4" s="153"/>
      <c r="AL4" s="235" t="s">
        <v>32</v>
      </c>
      <c r="AM4" s="139"/>
      <c r="AN4" s="153"/>
      <c r="AO4" s="235" t="s">
        <v>32</v>
      </c>
      <c r="AP4" s="139"/>
      <c r="AQ4" s="140"/>
      <c r="AR4" s="146" t="s">
        <v>32</v>
      </c>
      <c r="AS4" s="147"/>
      <c r="AT4" s="154"/>
      <c r="AU4" s="238" t="s">
        <v>32</v>
      </c>
      <c r="AV4" s="147"/>
      <c r="AW4" s="154"/>
      <c r="AX4" s="238" t="s">
        <v>32</v>
      </c>
      <c r="AY4" s="147"/>
      <c r="AZ4" s="148"/>
      <c r="BA4" s="146" t="s">
        <v>32</v>
      </c>
      <c r="BB4" s="147"/>
      <c r="BC4" s="154"/>
      <c r="BD4" s="238" t="s">
        <v>32</v>
      </c>
      <c r="BE4" s="147"/>
      <c r="BF4" s="154"/>
      <c r="BG4" s="238" t="s">
        <v>32</v>
      </c>
      <c r="BH4" s="147"/>
      <c r="BI4" s="148"/>
      <c r="BJ4" s="146" t="s">
        <v>32</v>
      </c>
      <c r="BK4" s="147"/>
      <c r="BL4" s="154"/>
      <c r="BM4" s="238" t="s">
        <v>32</v>
      </c>
      <c r="BN4" s="147"/>
      <c r="BO4" s="154"/>
      <c r="BP4" s="238" t="s">
        <v>32</v>
      </c>
      <c r="BQ4" s="147"/>
      <c r="BR4" s="148"/>
      <c r="BS4" s="232" t="s">
        <v>37</v>
      </c>
      <c r="BT4" s="81">
        <f>1/((1/BT23)+(1/BT24))</f>
        <v>1.7906828204523668</v>
      </c>
      <c r="BU4" s="156"/>
      <c r="BV4" s="232"/>
      <c r="BW4" s="81"/>
      <c r="BX4" s="156"/>
      <c r="BY4" s="232" t="s">
        <v>0</v>
      </c>
      <c r="BZ4" s="81" t="s">
        <v>33</v>
      </c>
      <c r="CA4" s="156"/>
      <c r="CB4" s="232"/>
      <c r="CC4" s="81"/>
      <c r="CD4" s="156"/>
      <c r="CE4" s="232"/>
      <c r="CF4" s="81"/>
      <c r="CG4" s="156"/>
      <c r="CH4" s="232"/>
      <c r="CI4" s="81"/>
      <c r="CJ4" s="82"/>
      <c r="CK4" s="232"/>
      <c r="CL4" s="81"/>
      <c r="CM4" s="82"/>
      <c r="CN4" s="232"/>
      <c r="CO4" s="81"/>
      <c r="CP4" s="82"/>
      <c r="CQ4" s="232"/>
      <c r="CR4" s="81"/>
      <c r="CS4" s="82"/>
      <c r="CT4" s="390" t="s">
        <v>0</v>
      </c>
      <c r="CU4" s="391" t="s">
        <v>9</v>
      </c>
      <c r="CV4" s="392"/>
      <c r="CW4" s="267" t="s">
        <v>37</v>
      </c>
      <c r="CX4" s="177">
        <f>1/((1/CX22)+(1/CX23))</f>
        <v>9.9718749309856618E-4</v>
      </c>
      <c r="CY4" s="264"/>
      <c r="CZ4" s="271"/>
      <c r="DA4" s="184"/>
      <c r="DB4" s="185"/>
      <c r="DC4" s="310"/>
      <c r="DD4" s="311"/>
      <c r="DE4" s="312"/>
      <c r="DF4" s="35"/>
      <c r="DG4" s="36"/>
      <c r="DH4" s="173"/>
      <c r="DI4" s="229"/>
      <c r="DJ4" s="36"/>
      <c r="DK4" s="187"/>
      <c r="DL4" s="229"/>
      <c r="DM4" s="36"/>
      <c r="DN4" s="173"/>
      <c r="DO4" s="229"/>
      <c r="DP4" s="36"/>
      <c r="DQ4" s="228"/>
      <c r="DR4" s="188"/>
      <c r="DS4" s="26"/>
      <c r="DT4" s="171"/>
      <c r="DU4" s="325"/>
      <c r="DV4" s="326"/>
      <c r="DW4" s="327"/>
      <c r="DX4" s="328"/>
      <c r="DY4" s="326"/>
      <c r="DZ4" s="329"/>
      <c r="EA4" s="328"/>
      <c r="EB4" s="326"/>
      <c r="EC4" s="327"/>
      <c r="ED4" s="328"/>
      <c r="EE4" s="326"/>
      <c r="EF4" s="330"/>
      <c r="EG4" s="172"/>
      <c r="EH4" s="21"/>
      <c r="EI4" s="190"/>
      <c r="EJ4" s="342"/>
      <c r="EK4" s="343"/>
      <c r="EL4" s="344"/>
      <c r="EM4" s="345"/>
      <c r="EN4" s="343"/>
      <c r="EO4" s="346"/>
      <c r="EP4" s="345"/>
      <c r="EQ4" s="343"/>
      <c r="ER4" s="344"/>
      <c r="ES4" s="345"/>
      <c r="ET4" s="343"/>
      <c r="EU4" s="347"/>
      <c r="EV4" s="40"/>
      <c r="EW4" s="40"/>
      <c r="EX4" s="40"/>
      <c r="EY4" s="200"/>
      <c r="EZ4" s="201"/>
      <c r="FA4" s="201"/>
      <c r="FB4" s="224"/>
      <c r="FC4" s="201"/>
      <c r="FD4" s="201"/>
      <c r="FE4" s="224"/>
      <c r="FF4" s="201"/>
      <c r="FG4" s="201"/>
      <c r="FH4" s="224"/>
      <c r="FI4" s="201"/>
      <c r="FJ4" s="202"/>
      <c r="FK4" s="50"/>
      <c r="FL4" s="51" t="s">
        <v>384</v>
      </c>
      <c r="FM4" s="52"/>
      <c r="FN4" s="213"/>
      <c r="FO4" s="214"/>
      <c r="FP4" s="214"/>
      <c r="FQ4" s="219"/>
      <c r="FR4" s="214" t="s">
        <v>384</v>
      </c>
      <c r="FS4" s="214"/>
      <c r="FT4" s="219"/>
      <c r="FU4" s="214"/>
      <c r="FV4" s="214"/>
      <c r="FW4" s="219"/>
      <c r="FX4" s="214"/>
      <c r="FY4" s="215"/>
      <c r="FZ4" s="62"/>
      <c r="GA4" s="63"/>
      <c r="GB4" s="64"/>
      <c r="GC4" s="281"/>
      <c r="GD4" s="282"/>
      <c r="GE4" s="282"/>
      <c r="GF4" s="287"/>
      <c r="GG4" s="282"/>
      <c r="GH4" s="282"/>
      <c r="GI4" s="287"/>
      <c r="GJ4" s="282"/>
      <c r="GK4" s="282"/>
      <c r="GL4" s="287"/>
      <c r="GM4" s="282"/>
      <c r="GN4" s="283"/>
      <c r="GO4" s="73"/>
      <c r="GP4" s="74"/>
      <c r="GQ4" s="75"/>
      <c r="GR4" s="294"/>
      <c r="GS4" s="295"/>
      <c r="GT4" s="295"/>
      <c r="GU4" s="299"/>
      <c r="GV4" s="295"/>
      <c r="GW4" s="295"/>
      <c r="GX4" s="299"/>
      <c r="GY4" s="295"/>
      <c r="GZ4" s="295"/>
      <c r="HA4" s="299"/>
      <c r="HB4" s="295"/>
      <c r="HC4" s="301"/>
      <c r="HD4" s="304">
        <f>HE6*HE13*10^-3*(HE14+(HE9/HE10))*((HE11*HE7)/(1-EXP(-HE7*HE11)))</f>
        <v>1.7848630844582289E-4</v>
      </c>
      <c r="HE4" s="305"/>
      <c r="HF4" s="306" t="s">
        <v>43</v>
      </c>
    </row>
    <row r="5" spans="1:214" ht="13.5" thickTop="1" x14ac:dyDescent="0.2">
      <c r="A5" s="420" t="s">
        <v>486</v>
      </c>
      <c r="B5" s="415">
        <v>1.17E-4</v>
      </c>
      <c r="C5" s="416"/>
      <c r="D5" t="s">
        <v>485</v>
      </c>
      <c r="E5" s="1">
        <v>1</v>
      </c>
      <c r="G5" t="s">
        <v>485</v>
      </c>
      <c r="H5" s="1">
        <v>1</v>
      </c>
      <c r="J5" t="s">
        <v>485</v>
      </c>
      <c r="K5" s="1">
        <v>1</v>
      </c>
      <c r="M5" t="s">
        <v>485</v>
      </c>
      <c r="N5" s="1">
        <v>1</v>
      </c>
      <c r="P5" t="s">
        <v>485</v>
      </c>
      <c r="Q5" s="1">
        <v>1</v>
      </c>
      <c r="S5" t="s">
        <v>485</v>
      </c>
      <c r="T5" s="1">
        <v>1</v>
      </c>
      <c r="V5" t="s">
        <v>458</v>
      </c>
      <c r="W5" s="1">
        <v>1</v>
      </c>
      <c r="X5" t="s">
        <v>459</v>
      </c>
      <c r="Y5" t="s">
        <v>458</v>
      </c>
      <c r="Z5" s="1">
        <v>1</v>
      </c>
      <c r="AA5" t="s">
        <v>459</v>
      </c>
      <c r="AB5" t="s">
        <v>458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t="s">
        <v>459</v>
      </c>
      <c r="AI5" t="s">
        <v>458</v>
      </c>
      <c r="AJ5" s="1">
        <v>1</v>
      </c>
      <c r="AK5" t="s">
        <v>459</v>
      </c>
      <c r="AL5" t="s">
        <v>458</v>
      </c>
      <c r="AM5" s="1">
        <v>1</v>
      </c>
      <c r="AN5" t="s">
        <v>459</v>
      </c>
      <c r="AO5" t="s">
        <v>458</v>
      </c>
      <c r="AP5" s="1">
        <v>1</v>
      </c>
      <c r="AQ5" t="s">
        <v>459</v>
      </c>
      <c r="AR5" t="s">
        <v>458</v>
      </c>
      <c r="AS5" s="1">
        <v>1</v>
      </c>
      <c r="AT5" t="s">
        <v>459</v>
      </c>
      <c r="AU5" t="s">
        <v>458</v>
      </c>
      <c r="AV5" s="1">
        <v>1</v>
      </c>
      <c r="AW5" t="s">
        <v>459</v>
      </c>
      <c r="AX5" t="s">
        <v>458</v>
      </c>
      <c r="AY5" s="1">
        <v>1</v>
      </c>
      <c r="AZ5" t="s">
        <v>459</v>
      </c>
      <c r="BA5" t="s">
        <v>458</v>
      </c>
      <c r="BB5" s="1">
        <v>1</v>
      </c>
      <c r="BC5" t="s">
        <v>459</v>
      </c>
      <c r="BD5" t="s">
        <v>458</v>
      </c>
      <c r="BE5" s="1">
        <v>1</v>
      </c>
      <c r="BF5" t="s">
        <v>459</v>
      </c>
      <c r="BG5" t="s">
        <v>458</v>
      </c>
      <c r="BH5" s="1">
        <v>1</v>
      </c>
      <c r="BI5" t="s">
        <v>459</v>
      </c>
      <c r="BJ5" t="s">
        <v>458</v>
      </c>
      <c r="BK5" s="1">
        <v>1</v>
      </c>
      <c r="BL5" t="s">
        <v>459</v>
      </c>
      <c r="BM5" t="s">
        <v>458</v>
      </c>
      <c r="BN5" s="1">
        <v>1</v>
      </c>
      <c r="BO5" t="s">
        <v>459</v>
      </c>
      <c r="BP5" t="s">
        <v>458</v>
      </c>
      <c r="BQ5" s="1">
        <v>1</v>
      </c>
      <c r="BR5" t="s">
        <v>459</v>
      </c>
      <c r="BS5" t="s">
        <v>458</v>
      </c>
      <c r="BT5" s="1">
        <v>1</v>
      </c>
      <c r="BU5" t="s">
        <v>459</v>
      </c>
      <c r="BV5" t="s">
        <v>458</v>
      </c>
      <c r="BW5" s="1">
        <v>1</v>
      </c>
      <c r="BX5" t="s">
        <v>459</v>
      </c>
      <c r="BY5" t="s">
        <v>458</v>
      </c>
      <c r="BZ5" s="1">
        <v>1</v>
      </c>
      <c r="CA5" t="s">
        <v>459</v>
      </c>
      <c r="CB5" t="s">
        <v>458</v>
      </c>
      <c r="CC5" s="1">
        <v>1</v>
      </c>
      <c r="CD5" t="s">
        <v>459</v>
      </c>
      <c r="CE5" t="s">
        <v>458</v>
      </c>
      <c r="CF5" s="1">
        <v>1</v>
      </c>
      <c r="CG5" t="s">
        <v>459</v>
      </c>
      <c r="CH5" t="s">
        <v>458</v>
      </c>
      <c r="CI5" s="1">
        <v>1</v>
      </c>
      <c r="CJ5" t="s">
        <v>459</v>
      </c>
      <c r="CK5" t="s">
        <v>458</v>
      </c>
      <c r="CL5" s="1">
        <v>1</v>
      </c>
      <c r="CM5" t="s">
        <v>459</v>
      </c>
      <c r="CN5" t="s">
        <v>395</v>
      </c>
      <c r="CO5" s="1">
        <f>B39</f>
        <v>1.7000000000000001E-4</v>
      </c>
      <c r="CQ5" t="s">
        <v>395</v>
      </c>
      <c r="CR5">
        <f>CO5</f>
        <v>1.7000000000000001E-4</v>
      </c>
      <c r="CT5" t="s">
        <v>458</v>
      </c>
      <c r="CU5" s="1">
        <v>1</v>
      </c>
      <c r="CV5" t="s">
        <v>459</v>
      </c>
      <c r="CW5" t="s">
        <v>458</v>
      </c>
      <c r="CX5" s="1">
        <v>1</v>
      </c>
      <c r="CY5" t="s">
        <v>459</v>
      </c>
      <c r="CZ5" t="s">
        <v>458</v>
      </c>
      <c r="DA5" s="1">
        <v>1</v>
      </c>
      <c r="DB5" t="s">
        <v>459</v>
      </c>
      <c r="DC5" t="s">
        <v>458</v>
      </c>
      <c r="DD5" s="1">
        <v>1</v>
      </c>
      <c r="DE5" t="s">
        <v>459</v>
      </c>
      <c r="DF5" t="s">
        <v>44</v>
      </c>
      <c r="DG5">
        <f>(DG8*DG9*DG10*((1-EXP(-DG11*DG12))))/(DG13*DG11)</f>
        <v>1.7470612337404778E-3</v>
      </c>
      <c r="DH5" t="s">
        <v>45</v>
      </c>
      <c r="DI5" t="s">
        <v>46</v>
      </c>
      <c r="DJ5">
        <f>DJ7</f>
        <v>5.0000000000000002E-5</v>
      </c>
      <c r="DL5" t="s">
        <v>46</v>
      </c>
      <c r="DM5">
        <f>DM7</f>
        <v>5.0000000000000002E-5</v>
      </c>
      <c r="DO5" t="s">
        <v>44</v>
      </c>
      <c r="DP5">
        <f>(DP8*DP9*DP10*((1-EXP(-DP11*DP12))))/(DP13*DP11)</f>
        <v>1.7873205381175516E-3</v>
      </c>
      <c r="DQ5" t="s">
        <v>45</v>
      </c>
      <c r="DR5" t="s">
        <v>458</v>
      </c>
      <c r="DS5" s="1">
        <v>1</v>
      </c>
      <c r="DT5" t="s">
        <v>459</v>
      </c>
      <c r="DU5" t="s">
        <v>317</v>
      </c>
      <c r="DV5" s="1">
        <f>B35</f>
        <v>1.9999999999999999E-6</v>
      </c>
      <c r="DX5" t="s">
        <v>47</v>
      </c>
      <c r="DY5">
        <f>DY7</f>
        <v>6.0000000000000001E-3</v>
      </c>
      <c r="EA5" t="s">
        <v>47</v>
      </c>
      <c r="EB5">
        <f>EB7</f>
        <v>6.0000000000000001E-3</v>
      </c>
      <c r="ED5" t="s">
        <v>47</v>
      </c>
      <c r="EE5">
        <f>EE7</f>
        <v>6.0000000000000001E-3</v>
      </c>
      <c r="EG5" t="s">
        <v>458</v>
      </c>
      <c r="EH5" s="1">
        <v>1</v>
      </c>
      <c r="EI5" t="s">
        <v>459</v>
      </c>
      <c r="EJ5" t="s">
        <v>318</v>
      </c>
      <c r="EK5" s="1">
        <f>B36</f>
        <v>5.0000000000000002E-5</v>
      </c>
      <c r="EM5" t="s">
        <v>47</v>
      </c>
      <c r="EN5">
        <f>EN7</f>
        <v>6.0000000000000001E-3</v>
      </c>
      <c r="EP5" t="s">
        <v>47</v>
      </c>
      <c r="EQ5">
        <f>EQ7</f>
        <v>6.0000000000000001E-3</v>
      </c>
      <c r="ES5" t="s">
        <v>47</v>
      </c>
      <c r="ET5">
        <f>ET7</f>
        <v>6.0000000000000001E-3</v>
      </c>
      <c r="EV5" t="s">
        <v>458</v>
      </c>
      <c r="EW5" s="1">
        <v>1</v>
      </c>
      <c r="EX5" t="s">
        <v>459</v>
      </c>
      <c r="EY5" t="s">
        <v>319</v>
      </c>
      <c r="EZ5" s="406">
        <f>B38</f>
        <v>4.0000000000000001E-3</v>
      </c>
      <c r="FB5" t="s">
        <v>47</v>
      </c>
      <c r="FC5">
        <f>FC7</f>
        <v>5.0000000000000001E-3</v>
      </c>
      <c r="FE5" t="s">
        <v>47</v>
      </c>
      <c r="FF5">
        <f>FF7</f>
        <v>5.0000000000000001E-3</v>
      </c>
      <c r="FH5" t="s">
        <v>47</v>
      </c>
      <c r="FI5">
        <f>FI7</f>
        <v>5.0000000000000001E-3</v>
      </c>
      <c r="FK5" t="s">
        <v>458</v>
      </c>
      <c r="FL5" s="1">
        <v>1</v>
      </c>
      <c r="FM5" t="s">
        <v>459</v>
      </c>
      <c r="FN5" t="s">
        <v>320</v>
      </c>
      <c r="FO5" s="17">
        <v>1</v>
      </c>
      <c r="FQ5" t="s">
        <v>186</v>
      </c>
      <c r="FR5" s="1">
        <f>B34</f>
        <v>30</v>
      </c>
      <c r="FT5" t="s">
        <v>47</v>
      </c>
      <c r="FU5">
        <f>FU7</f>
        <v>0.2</v>
      </c>
      <c r="FW5" t="s">
        <v>47</v>
      </c>
      <c r="FX5">
        <f>FX7</f>
        <v>0.2</v>
      </c>
      <c r="FZ5" t="s">
        <v>458</v>
      </c>
      <c r="GA5" s="1">
        <v>1</v>
      </c>
      <c r="GB5" t="s">
        <v>459</v>
      </c>
      <c r="GC5" t="s">
        <v>321</v>
      </c>
      <c r="GD5" s="406">
        <f>B37</f>
        <v>6.0000000000000001E-3</v>
      </c>
      <c r="GF5" t="s">
        <v>47</v>
      </c>
      <c r="GG5">
        <f>GG7</f>
        <v>5.0000000000000001E-3</v>
      </c>
      <c r="GI5" t="s">
        <v>47</v>
      </c>
      <c r="GJ5">
        <f>GJ7</f>
        <v>5.0000000000000001E-3</v>
      </c>
      <c r="GL5" t="s">
        <v>47</v>
      </c>
      <c r="GM5">
        <f>GM7</f>
        <v>5.0000000000000001E-3</v>
      </c>
      <c r="GO5" t="s">
        <v>458</v>
      </c>
      <c r="GP5" s="1">
        <v>1</v>
      </c>
      <c r="GQ5" t="s">
        <v>459</v>
      </c>
      <c r="GR5" t="s">
        <v>322</v>
      </c>
      <c r="GS5" s="406">
        <f>B39</f>
        <v>1.7000000000000001E-4</v>
      </c>
      <c r="GU5" t="s">
        <v>47</v>
      </c>
      <c r="GV5">
        <f>GV7</f>
        <v>5.0000000000000001E-3</v>
      </c>
      <c r="GX5" t="s">
        <v>47</v>
      </c>
      <c r="GY5">
        <f>GY7</f>
        <v>5.0000000000000001E-3</v>
      </c>
      <c r="HA5" t="s">
        <v>47</v>
      </c>
      <c r="HB5">
        <f>HB7</f>
        <v>5.0000000000000001E-3</v>
      </c>
      <c r="HD5" s="2" t="s">
        <v>48</v>
      </c>
      <c r="HE5">
        <v>15</v>
      </c>
      <c r="HF5" t="s">
        <v>24</v>
      </c>
    </row>
    <row r="6" spans="1:214" x14ac:dyDescent="0.2">
      <c r="A6" s="424" t="s">
        <v>426</v>
      </c>
      <c r="B6" s="417">
        <v>0.74299999999999999</v>
      </c>
      <c r="C6" s="418"/>
      <c r="D6" t="s">
        <v>49</v>
      </c>
      <c r="E6" s="1">
        <f>0.693/E7</f>
        <v>6.3E-5</v>
      </c>
      <c r="G6" t="s">
        <v>437</v>
      </c>
      <c r="H6" s="1">
        <f>B18</f>
        <v>7.3999999999999999E-4</v>
      </c>
      <c r="I6" t="s">
        <v>61</v>
      </c>
      <c r="J6" t="s">
        <v>438</v>
      </c>
      <c r="K6" s="1">
        <f>B19</f>
        <v>7.3999999999999999E-4</v>
      </c>
      <c r="L6" t="s">
        <v>61</v>
      </c>
      <c r="M6" t="s">
        <v>58</v>
      </c>
      <c r="N6">
        <v>26</v>
      </c>
      <c r="O6" t="s">
        <v>59</v>
      </c>
      <c r="P6" t="s">
        <v>58</v>
      </c>
      <c r="Q6">
        <v>26</v>
      </c>
      <c r="R6" t="s">
        <v>59</v>
      </c>
      <c r="S6" t="s">
        <v>58</v>
      </c>
      <c r="T6">
        <v>26</v>
      </c>
      <c r="U6" t="s">
        <v>59</v>
      </c>
      <c r="V6" t="s">
        <v>49</v>
      </c>
      <c r="W6" s="1">
        <f>0.693/W7</f>
        <v>1.6041666666666665E-3</v>
      </c>
      <c r="Y6" t="s">
        <v>49</v>
      </c>
      <c r="Z6" s="1">
        <f>0.693/Z7</f>
        <v>1.6041666666666665E-3</v>
      </c>
      <c r="AC6">
        <v>1000</v>
      </c>
      <c r="AD6">
        <v>1000</v>
      </c>
      <c r="AE6">
        <v>1000</v>
      </c>
      <c r="AF6">
        <v>1000</v>
      </c>
      <c r="AG6">
        <v>1000</v>
      </c>
      <c r="AH6" t="s">
        <v>50</v>
      </c>
      <c r="AI6" t="s">
        <v>58</v>
      </c>
      <c r="AJ6">
        <v>25</v>
      </c>
      <c r="AK6" t="s">
        <v>59</v>
      </c>
      <c r="AL6" t="s">
        <v>58</v>
      </c>
      <c r="AM6">
        <v>25</v>
      </c>
      <c r="AN6" t="s">
        <v>59</v>
      </c>
      <c r="AO6" t="s">
        <v>58</v>
      </c>
      <c r="AP6">
        <v>25</v>
      </c>
      <c r="AQ6" t="s">
        <v>59</v>
      </c>
      <c r="AR6" t="s">
        <v>58</v>
      </c>
      <c r="AS6">
        <v>25</v>
      </c>
      <c r="AT6" t="s">
        <v>59</v>
      </c>
      <c r="AU6" t="s">
        <v>58</v>
      </c>
      <c r="AV6">
        <v>25</v>
      </c>
      <c r="AW6" t="s">
        <v>59</v>
      </c>
      <c r="AX6" t="s">
        <v>58</v>
      </c>
      <c r="AY6">
        <v>25</v>
      </c>
      <c r="AZ6" t="s">
        <v>59</v>
      </c>
      <c r="BA6" t="s">
        <v>58</v>
      </c>
      <c r="BB6">
        <v>25</v>
      </c>
      <c r="BC6" t="s">
        <v>59</v>
      </c>
      <c r="BD6" t="s">
        <v>58</v>
      </c>
      <c r="BE6">
        <v>25</v>
      </c>
      <c r="BF6" t="s">
        <v>59</v>
      </c>
      <c r="BG6" t="s">
        <v>58</v>
      </c>
      <c r="BH6">
        <v>25</v>
      </c>
      <c r="BI6" t="s">
        <v>59</v>
      </c>
      <c r="BJ6" t="s">
        <v>58</v>
      </c>
      <c r="BK6">
        <v>1</v>
      </c>
      <c r="BL6" t="s">
        <v>59</v>
      </c>
      <c r="BM6" t="s">
        <v>58</v>
      </c>
      <c r="BN6">
        <v>1</v>
      </c>
      <c r="BO6" t="s">
        <v>59</v>
      </c>
      <c r="BP6" t="s">
        <v>58</v>
      </c>
      <c r="BQ6">
        <v>1</v>
      </c>
      <c r="BR6" t="s">
        <v>59</v>
      </c>
      <c r="BS6" t="s">
        <v>49</v>
      </c>
      <c r="BT6" s="1">
        <f>0.693/BT7</f>
        <v>1.6041666666666665E-3</v>
      </c>
      <c r="BV6" t="s">
        <v>437</v>
      </c>
      <c r="BW6" s="1">
        <f>H6</f>
        <v>7.3999999999999999E-4</v>
      </c>
      <c r="BX6" t="s">
        <v>61</v>
      </c>
      <c r="BY6" t="s">
        <v>438</v>
      </c>
      <c r="BZ6" s="1">
        <f>K6</f>
        <v>7.3999999999999999E-4</v>
      </c>
      <c r="CA6" t="s">
        <v>61</v>
      </c>
      <c r="CB6" t="s">
        <v>58</v>
      </c>
      <c r="CC6">
        <v>26</v>
      </c>
      <c r="CD6" t="s">
        <v>59</v>
      </c>
      <c r="CE6" t="s">
        <v>58</v>
      </c>
      <c r="CF6">
        <v>26</v>
      </c>
      <c r="CG6" t="s">
        <v>59</v>
      </c>
      <c r="CH6" t="s">
        <v>58</v>
      </c>
      <c r="CI6">
        <v>26</v>
      </c>
      <c r="CJ6" t="s">
        <v>59</v>
      </c>
      <c r="CK6" t="s">
        <v>447</v>
      </c>
      <c r="CL6" s="1">
        <f>E35</f>
        <v>7.3999999999999999E-4</v>
      </c>
      <c r="CM6" t="s">
        <v>22</v>
      </c>
      <c r="CN6" t="s">
        <v>47</v>
      </c>
      <c r="CO6">
        <f>CO8</f>
        <v>5.0000000000000001E-3</v>
      </c>
      <c r="CQ6" t="s">
        <v>315</v>
      </c>
      <c r="CR6" s="17">
        <v>1</v>
      </c>
      <c r="CS6" t="s">
        <v>56</v>
      </c>
      <c r="CT6" t="s">
        <v>438</v>
      </c>
      <c r="CU6" s="1">
        <f>B19</f>
        <v>7.3999999999999999E-4</v>
      </c>
      <c r="CV6" t="s">
        <v>61</v>
      </c>
      <c r="CW6" t="s">
        <v>49</v>
      </c>
      <c r="CX6" s="1">
        <f>0.693/CX7</f>
        <v>1.6041666666666665E-3</v>
      </c>
      <c r="CZ6" t="s">
        <v>437</v>
      </c>
      <c r="DA6" s="1">
        <f>B18</f>
        <v>7.3999999999999999E-4</v>
      </c>
      <c r="DB6" t="s">
        <v>61</v>
      </c>
      <c r="DC6" t="s">
        <v>447</v>
      </c>
      <c r="DD6" s="1">
        <f>B28</f>
        <v>7.3999999999999999E-4</v>
      </c>
      <c r="DE6" t="s">
        <v>61</v>
      </c>
      <c r="DF6" t="s">
        <v>53</v>
      </c>
      <c r="DG6">
        <f>(DG8*DG9*DG14*((1-EXP(-DG11*DG12))))/(DG13*DG11)</f>
        <v>9.0847184154504852</v>
      </c>
      <c r="DH6" t="s">
        <v>45</v>
      </c>
      <c r="DI6" t="s">
        <v>54</v>
      </c>
      <c r="DJ6">
        <f>DJ8</f>
        <v>0.26</v>
      </c>
      <c r="DL6" t="s">
        <v>54</v>
      </c>
      <c r="DM6">
        <f>DM8</f>
        <v>0.26</v>
      </c>
      <c r="DO6" t="s">
        <v>53</v>
      </c>
      <c r="DP6">
        <f>(DP8*DP9*DP14*((1-EXP(-DP11*DP12))))/(DP13*DP11)</f>
        <v>9.2940667982112686</v>
      </c>
      <c r="DQ6" t="s">
        <v>45</v>
      </c>
      <c r="DR6" t="s">
        <v>447</v>
      </c>
      <c r="DS6" s="1">
        <f>B28</f>
        <v>7.3999999999999999E-4</v>
      </c>
      <c r="DT6" t="s">
        <v>61</v>
      </c>
      <c r="DU6" t="s">
        <v>55</v>
      </c>
      <c r="DV6">
        <v>92</v>
      </c>
      <c r="DW6" t="s">
        <v>56</v>
      </c>
      <c r="DX6" t="s">
        <v>54</v>
      </c>
      <c r="DY6">
        <f>DY8</f>
        <v>0.25</v>
      </c>
      <c r="EA6" t="s">
        <v>54</v>
      </c>
      <c r="EB6">
        <f>EB8</f>
        <v>0.25</v>
      </c>
      <c r="ED6" t="s">
        <v>54</v>
      </c>
      <c r="EE6">
        <f>EE8</f>
        <v>0.25</v>
      </c>
      <c r="EG6" t="s">
        <v>447</v>
      </c>
      <c r="EH6" s="1">
        <f>B28</f>
        <v>7.3999999999999999E-4</v>
      </c>
      <c r="EI6" t="s">
        <v>61</v>
      </c>
      <c r="EJ6" t="s">
        <v>57</v>
      </c>
      <c r="EK6">
        <v>53</v>
      </c>
      <c r="EL6" t="s">
        <v>56</v>
      </c>
      <c r="EM6" t="s">
        <v>54</v>
      </c>
      <c r="EN6">
        <f>EN8</f>
        <v>0.25</v>
      </c>
      <c r="EP6" t="s">
        <v>54</v>
      </c>
      <c r="EQ6">
        <f>EQ8</f>
        <v>0.25</v>
      </c>
      <c r="ES6" t="s">
        <v>54</v>
      </c>
      <c r="ET6">
        <f>ET8</f>
        <v>0.25</v>
      </c>
      <c r="EV6" t="s">
        <v>447</v>
      </c>
      <c r="EW6" s="1">
        <f>B28</f>
        <v>7.3999999999999999E-4</v>
      </c>
      <c r="EX6" t="s">
        <v>61</v>
      </c>
      <c r="EY6" t="s">
        <v>271</v>
      </c>
      <c r="EZ6">
        <v>0.4</v>
      </c>
      <c r="FA6" t="s">
        <v>56</v>
      </c>
      <c r="FB6" t="s">
        <v>54</v>
      </c>
      <c r="FC6">
        <f>FC8</f>
        <v>0.25</v>
      </c>
      <c r="FE6" t="s">
        <v>54</v>
      </c>
      <c r="FF6">
        <f>FF8</f>
        <v>0.25</v>
      </c>
      <c r="FH6" t="s">
        <v>54</v>
      </c>
      <c r="FI6">
        <f>FI8</f>
        <v>0.25</v>
      </c>
      <c r="FK6" t="s">
        <v>447</v>
      </c>
      <c r="FL6" s="1">
        <f>B28</f>
        <v>7.3999999999999999E-4</v>
      </c>
      <c r="FM6" t="s">
        <v>61</v>
      </c>
      <c r="FN6" t="s">
        <v>274</v>
      </c>
      <c r="FO6" s="17">
        <v>1</v>
      </c>
      <c r="FP6" t="s">
        <v>56</v>
      </c>
      <c r="FQ6" t="s">
        <v>296</v>
      </c>
      <c r="FR6" s="1">
        <v>8.1999999999999993</v>
      </c>
      <c r="FT6" t="s">
        <v>54</v>
      </c>
      <c r="FU6">
        <f>FU8</f>
        <v>0.25</v>
      </c>
      <c r="FW6" t="s">
        <v>54</v>
      </c>
      <c r="FX6">
        <f>FX8</f>
        <v>0.25</v>
      </c>
      <c r="FZ6" t="s">
        <v>447</v>
      </c>
      <c r="GA6" s="1">
        <f>B28</f>
        <v>7.3999999999999999E-4</v>
      </c>
      <c r="GB6" t="s">
        <v>61</v>
      </c>
      <c r="GC6" t="s">
        <v>272</v>
      </c>
      <c r="GD6">
        <v>0.4</v>
      </c>
      <c r="GE6" t="s">
        <v>56</v>
      </c>
      <c r="GF6" t="s">
        <v>54</v>
      </c>
      <c r="GG6">
        <f>GG8</f>
        <v>0.25</v>
      </c>
      <c r="GI6" t="s">
        <v>54</v>
      </c>
      <c r="GJ6">
        <f>GJ8</f>
        <v>0.25</v>
      </c>
      <c r="GL6" t="s">
        <v>54</v>
      </c>
      <c r="GM6">
        <f>GM8</f>
        <v>0.25</v>
      </c>
      <c r="GO6" t="s">
        <v>447</v>
      </c>
      <c r="GP6" s="1">
        <f>B28</f>
        <v>7.3999999999999999E-4</v>
      </c>
      <c r="GQ6" t="s">
        <v>61</v>
      </c>
      <c r="GR6" t="s">
        <v>273</v>
      </c>
      <c r="GS6">
        <v>11.4</v>
      </c>
      <c r="GT6" t="s">
        <v>56</v>
      </c>
      <c r="GU6" t="s">
        <v>54</v>
      </c>
      <c r="GV6">
        <f>GV8</f>
        <v>0.25</v>
      </c>
      <c r="GX6" t="s">
        <v>54</v>
      </c>
      <c r="GY6">
        <f>GY8</f>
        <v>0.25</v>
      </c>
      <c r="HA6" t="s">
        <v>54</v>
      </c>
      <c r="HB6">
        <f>HB8</f>
        <v>0.25</v>
      </c>
      <c r="HD6" t="s">
        <v>456</v>
      </c>
      <c r="HE6" s="1">
        <f>H3</f>
        <v>2.0811349855962289E-3</v>
      </c>
      <c r="HF6" t="s">
        <v>24</v>
      </c>
    </row>
    <row r="7" spans="1:214" x14ac:dyDescent="0.2">
      <c r="A7" s="424" t="s">
        <v>487</v>
      </c>
      <c r="B7" s="417">
        <v>1.35E-4</v>
      </c>
      <c r="C7" s="418"/>
      <c r="D7" t="s">
        <v>411</v>
      </c>
      <c r="E7" s="1">
        <v>11000</v>
      </c>
      <c r="F7" t="s">
        <v>119</v>
      </c>
      <c r="G7" t="s">
        <v>436</v>
      </c>
      <c r="H7" s="1">
        <f>B17</f>
        <v>0.155</v>
      </c>
      <c r="I7" t="s">
        <v>61</v>
      </c>
      <c r="J7" t="s">
        <v>436</v>
      </c>
      <c r="K7" s="1">
        <f>B17</f>
        <v>0.155</v>
      </c>
      <c r="L7" t="s">
        <v>61</v>
      </c>
      <c r="M7" t="s">
        <v>49</v>
      </c>
      <c r="N7" s="1">
        <f>0.693/N8</f>
        <v>1.6041666666666665E-3</v>
      </c>
      <c r="P7" t="s">
        <v>49</v>
      </c>
      <c r="Q7" s="1">
        <f>0.693/Q8</f>
        <v>1.6041666666666665E-3</v>
      </c>
      <c r="S7" t="s">
        <v>49</v>
      </c>
      <c r="T7" s="1">
        <f>0.693/T8</f>
        <v>1.6041666666666665E-3</v>
      </c>
      <c r="V7" t="s">
        <v>411</v>
      </c>
      <c r="W7" s="1">
        <f>B29</f>
        <v>432</v>
      </c>
      <c r="X7" t="s">
        <v>119</v>
      </c>
      <c r="Y7" t="s">
        <v>411</v>
      </c>
      <c r="Z7" s="1">
        <f>B29</f>
        <v>432</v>
      </c>
      <c r="AA7" t="s">
        <v>119</v>
      </c>
      <c r="AI7" t="s">
        <v>49</v>
      </c>
      <c r="AJ7" s="1">
        <f>0.693/AJ8</f>
        <v>1.6041666666666665E-3</v>
      </c>
      <c r="AL7" t="s">
        <v>49</v>
      </c>
      <c r="AM7" s="1">
        <f>0.693/AM8</f>
        <v>1.6041666666666665E-3</v>
      </c>
      <c r="AO7" t="s">
        <v>49</v>
      </c>
      <c r="AP7" s="1">
        <f>0.693/AP8</f>
        <v>1.6041666666666665E-3</v>
      </c>
      <c r="AR7" t="s">
        <v>49</v>
      </c>
      <c r="AS7" s="1">
        <f>0.693/AS8</f>
        <v>1.6041666666666665E-3</v>
      </c>
      <c r="AU7" t="s">
        <v>49</v>
      </c>
      <c r="AV7" s="1">
        <f>0.693/AV8</f>
        <v>1.6041666666666665E-3</v>
      </c>
      <c r="AX7" t="s">
        <v>49</v>
      </c>
      <c r="AY7" s="1">
        <f>0.693/AY8</f>
        <v>1.6041666666666665E-3</v>
      </c>
      <c r="BA7" t="s">
        <v>49</v>
      </c>
      <c r="BB7" s="1">
        <f>0.693/BB8</f>
        <v>1.6041666666666665E-3</v>
      </c>
      <c r="BD7" t="s">
        <v>49</v>
      </c>
      <c r="BE7" s="1">
        <f>0.693/BE8</f>
        <v>1.6041666666666665E-3</v>
      </c>
      <c r="BG7" t="s">
        <v>49</v>
      </c>
      <c r="BH7" s="1">
        <f>0.693/BH8</f>
        <v>1.6041666666666665E-3</v>
      </c>
      <c r="BJ7" t="s">
        <v>49</v>
      </c>
      <c r="BK7" s="1">
        <f>0.693/BK8</f>
        <v>1.6041666666666665E-3</v>
      </c>
      <c r="BM7" t="s">
        <v>49</v>
      </c>
      <c r="BN7" s="1">
        <f>0.693/BN8</f>
        <v>1.6041666666666665E-3</v>
      </c>
      <c r="BP7" t="s">
        <v>49</v>
      </c>
      <c r="BQ7" s="1">
        <f>0.693/BQ8</f>
        <v>1.6041666666666665E-3</v>
      </c>
      <c r="BS7" t="s">
        <v>411</v>
      </c>
      <c r="BT7" s="1">
        <f>B29</f>
        <v>432</v>
      </c>
      <c r="BU7" t="s">
        <v>119</v>
      </c>
      <c r="BV7" t="s">
        <v>436</v>
      </c>
      <c r="BW7" s="1">
        <f>E10</f>
        <v>0.155</v>
      </c>
      <c r="BX7" t="s">
        <v>61</v>
      </c>
      <c r="BY7" t="s">
        <v>436</v>
      </c>
      <c r="BZ7" s="1">
        <f>E10</f>
        <v>0.155</v>
      </c>
      <c r="CA7" t="s">
        <v>61</v>
      </c>
      <c r="CB7" t="s">
        <v>49</v>
      </c>
      <c r="CC7" s="1">
        <f>0.693/CC8</f>
        <v>1.6041666666666665E-3</v>
      </c>
      <c r="CE7" t="s">
        <v>49</v>
      </c>
      <c r="CF7" s="1">
        <f>0.693/CF8</f>
        <v>1.6041666666666665E-3</v>
      </c>
      <c r="CH7" t="s">
        <v>49</v>
      </c>
      <c r="CI7" s="1">
        <f>0.693/CI8</f>
        <v>1.6041666666666665E-3</v>
      </c>
      <c r="CK7" t="s">
        <v>221</v>
      </c>
      <c r="CL7">
        <v>75</v>
      </c>
      <c r="CM7" t="s">
        <v>245</v>
      </c>
      <c r="CN7" t="s">
        <v>54</v>
      </c>
      <c r="CO7">
        <f>CO9</f>
        <v>0.25</v>
      </c>
      <c r="CR7">
        <v>1000</v>
      </c>
      <c r="CS7" t="s">
        <v>213</v>
      </c>
      <c r="CT7" t="s">
        <v>436</v>
      </c>
      <c r="CU7" s="1">
        <f>B17</f>
        <v>0.155</v>
      </c>
      <c r="CV7" t="s">
        <v>61</v>
      </c>
      <c r="CW7" t="s">
        <v>411</v>
      </c>
      <c r="CX7" s="1">
        <f>B29</f>
        <v>432</v>
      </c>
      <c r="CY7" t="s">
        <v>119</v>
      </c>
      <c r="CZ7" t="s">
        <v>436</v>
      </c>
      <c r="DA7" s="1">
        <f>B17</f>
        <v>0.155</v>
      </c>
      <c r="DB7" t="s">
        <v>61</v>
      </c>
      <c r="DC7" t="s">
        <v>451</v>
      </c>
      <c r="DD7" s="16">
        <f>(DD5)/(DD6*(DD8+DD11)*DD21)</f>
        <v>5.0953531652970785E-2</v>
      </c>
      <c r="DE7" t="s">
        <v>22</v>
      </c>
      <c r="DF7" t="s">
        <v>62</v>
      </c>
      <c r="DG7">
        <f>(DG8*DG9*DG15*DG21*((1-EXP(-DG16*DG17))))/(DG18*DG16)</f>
        <v>3.6421488784670224</v>
      </c>
      <c r="DH7" t="s">
        <v>45</v>
      </c>
      <c r="DI7" t="s">
        <v>63</v>
      </c>
      <c r="DJ7">
        <f>B40</f>
        <v>5.0000000000000002E-5</v>
      </c>
      <c r="DL7" t="s">
        <v>63</v>
      </c>
      <c r="DM7">
        <f>B40</f>
        <v>5.0000000000000002E-5</v>
      </c>
      <c r="DO7" t="s">
        <v>62</v>
      </c>
      <c r="DP7">
        <f>(DP8*DP9*DP15*DP21*((1-EXP(-DP16*DP17))))/(DP18*DP16)</f>
        <v>3.6424203206347228</v>
      </c>
      <c r="DQ7" t="s">
        <v>45</v>
      </c>
      <c r="DR7" t="s">
        <v>451</v>
      </c>
      <c r="DS7" s="16">
        <f>DS5/(DS6*DS8*DS17)</f>
        <v>6.8805201122763273E-3</v>
      </c>
      <c r="DT7" t="s">
        <v>22</v>
      </c>
      <c r="DX7" t="s">
        <v>64</v>
      </c>
      <c r="DY7">
        <f>B41</f>
        <v>6.0000000000000001E-3</v>
      </c>
      <c r="EA7" t="s">
        <v>64</v>
      </c>
      <c r="EB7">
        <f>B41</f>
        <v>6.0000000000000001E-3</v>
      </c>
      <c r="ED7" t="s">
        <v>64</v>
      </c>
      <c r="EE7">
        <f>B41</f>
        <v>6.0000000000000001E-3</v>
      </c>
      <c r="EG7" t="s">
        <v>451</v>
      </c>
      <c r="EH7" s="16">
        <f>EH5/(EH6*EH8*EH17)</f>
        <v>3.2490291856286088E-2</v>
      </c>
      <c r="EI7" t="s">
        <v>22</v>
      </c>
      <c r="EM7" t="s">
        <v>64</v>
      </c>
      <c r="EN7">
        <f>B41</f>
        <v>6.0000000000000001E-3</v>
      </c>
      <c r="EP7" t="s">
        <v>64</v>
      </c>
      <c r="EQ7">
        <f>B41</f>
        <v>6.0000000000000001E-3</v>
      </c>
      <c r="ES7" t="s">
        <v>64</v>
      </c>
      <c r="ET7">
        <f>B41</f>
        <v>6.0000000000000001E-3</v>
      </c>
      <c r="EV7" t="s">
        <v>451</v>
      </c>
      <c r="EW7" s="16">
        <f>EW5/(EW6*EW8*EW17)</f>
        <v>0.10832178395591154</v>
      </c>
      <c r="EX7" t="s">
        <v>22</v>
      </c>
      <c r="EZ7">
        <v>1000</v>
      </c>
      <c r="FA7" t="s">
        <v>213</v>
      </c>
      <c r="FB7" t="s">
        <v>64</v>
      </c>
      <c r="FC7">
        <v>5.0000000000000001E-3</v>
      </c>
      <c r="FE7" t="s">
        <v>64</v>
      </c>
      <c r="FF7">
        <v>5.0000000000000001E-3</v>
      </c>
      <c r="FH7" t="s">
        <v>64</v>
      </c>
      <c r="FI7">
        <v>5.0000000000000001E-3</v>
      </c>
      <c r="FK7" t="s">
        <v>451</v>
      </c>
      <c r="FL7" s="16">
        <f>FL5/(FL6*FL8*FL17)</f>
        <v>3.5328814471456742E-2</v>
      </c>
      <c r="FM7" t="s">
        <v>22</v>
      </c>
      <c r="FO7">
        <v>1000</v>
      </c>
      <c r="FP7" t="s">
        <v>213</v>
      </c>
      <c r="FT7" t="s">
        <v>64</v>
      </c>
      <c r="FU7">
        <v>0.2</v>
      </c>
      <c r="FW7" t="s">
        <v>64</v>
      </c>
      <c r="FX7">
        <v>0.2</v>
      </c>
      <c r="FZ7" t="s">
        <v>451</v>
      </c>
      <c r="GA7" s="16">
        <f>GA5/(GA6*GA8*GA17)</f>
        <v>4.5197768097062517E-2</v>
      </c>
      <c r="GB7" t="s">
        <v>22</v>
      </c>
      <c r="GD7">
        <v>1000</v>
      </c>
      <c r="GE7" t="s">
        <v>213</v>
      </c>
      <c r="GF7" t="s">
        <v>64</v>
      </c>
      <c r="GG7">
        <v>5.0000000000000001E-3</v>
      </c>
      <c r="GI7" t="s">
        <v>64</v>
      </c>
      <c r="GJ7">
        <v>5.0000000000000001E-3</v>
      </c>
      <c r="GL7" t="s">
        <v>64</v>
      </c>
      <c r="GM7">
        <v>5.0000000000000001E-3</v>
      </c>
      <c r="GO7" t="s">
        <v>451</v>
      </c>
      <c r="GP7" s="16">
        <f>GP5/(GP6*GP8*GP16)</f>
        <v>5.8186061489116814E-2</v>
      </c>
      <c r="GQ7" t="s">
        <v>22</v>
      </c>
      <c r="GS7">
        <v>1000</v>
      </c>
      <c r="GT7" t="s">
        <v>213</v>
      </c>
      <c r="GU7" t="s">
        <v>64</v>
      </c>
      <c r="GV7">
        <v>5.0000000000000001E-3</v>
      </c>
      <c r="GX7" t="s">
        <v>64</v>
      </c>
      <c r="GY7">
        <v>5.0000000000000001E-3</v>
      </c>
      <c r="HA7" t="s">
        <v>64</v>
      </c>
      <c r="HB7">
        <v>5.0000000000000001E-3</v>
      </c>
      <c r="HD7" t="s">
        <v>49</v>
      </c>
      <c r="HE7" s="1">
        <f>0.693/HE8</f>
        <v>1.6041666666666665E-3</v>
      </c>
    </row>
    <row r="8" spans="1:214" x14ac:dyDescent="0.2">
      <c r="A8" s="424" t="s">
        <v>427</v>
      </c>
      <c r="B8" s="417">
        <v>0.71099999999999997</v>
      </c>
      <c r="C8" s="418"/>
      <c r="D8" t="s">
        <v>51</v>
      </c>
      <c r="E8">
        <v>350</v>
      </c>
      <c r="F8" t="s">
        <v>60</v>
      </c>
      <c r="G8" t="s">
        <v>446</v>
      </c>
      <c r="H8" s="1">
        <f>B27</f>
        <v>1.8E-7</v>
      </c>
      <c r="I8" t="s">
        <v>61</v>
      </c>
      <c r="J8" t="s">
        <v>460</v>
      </c>
      <c r="K8" s="1">
        <f>B21</f>
        <v>3.7100000000000001E-2</v>
      </c>
      <c r="L8" t="s">
        <v>147</v>
      </c>
      <c r="M8" t="s">
        <v>411</v>
      </c>
      <c r="N8" s="1">
        <f>B29</f>
        <v>432</v>
      </c>
      <c r="O8" t="s">
        <v>119</v>
      </c>
      <c r="P8" t="s">
        <v>411</v>
      </c>
      <c r="Q8" s="1">
        <f>B29</f>
        <v>432</v>
      </c>
      <c r="R8" t="s">
        <v>119</v>
      </c>
      <c r="S8" t="s">
        <v>411</v>
      </c>
      <c r="T8" s="1">
        <f>B29</f>
        <v>432</v>
      </c>
      <c r="U8" t="s">
        <v>119</v>
      </c>
      <c r="V8" t="s">
        <v>51</v>
      </c>
      <c r="W8">
        <v>225</v>
      </c>
      <c r="X8" t="s">
        <v>60</v>
      </c>
      <c r="Y8" t="s">
        <v>51</v>
      </c>
      <c r="Z8">
        <v>250</v>
      </c>
      <c r="AA8" t="s">
        <v>60</v>
      </c>
      <c r="AB8" t="s">
        <v>66</v>
      </c>
      <c r="AC8">
        <v>250</v>
      </c>
      <c r="AD8">
        <v>250</v>
      </c>
      <c r="AE8">
        <v>225</v>
      </c>
      <c r="AF8">
        <f>AF12*AF13</f>
        <v>250</v>
      </c>
      <c r="AG8">
        <f>AG12*AG13</f>
        <v>250</v>
      </c>
      <c r="AH8" t="s">
        <v>52</v>
      </c>
      <c r="AI8" t="s">
        <v>411</v>
      </c>
      <c r="AJ8" s="1">
        <f>B29</f>
        <v>432</v>
      </c>
      <c r="AK8" t="s">
        <v>119</v>
      </c>
      <c r="AL8" t="s">
        <v>411</v>
      </c>
      <c r="AM8" s="1">
        <f>B29</f>
        <v>432</v>
      </c>
      <c r="AN8" t="s">
        <v>119</v>
      </c>
      <c r="AO8" t="s">
        <v>411</v>
      </c>
      <c r="AP8" s="1">
        <f>B29</f>
        <v>432</v>
      </c>
      <c r="AQ8" t="s">
        <v>119</v>
      </c>
      <c r="AR8" t="s">
        <v>411</v>
      </c>
      <c r="AS8" s="1">
        <f>B29</f>
        <v>432</v>
      </c>
      <c r="AT8" t="s">
        <v>119</v>
      </c>
      <c r="AU8" t="s">
        <v>411</v>
      </c>
      <c r="AV8" s="1">
        <f>B29</f>
        <v>432</v>
      </c>
      <c r="AW8" t="s">
        <v>119</v>
      </c>
      <c r="AX8" t="s">
        <v>411</v>
      </c>
      <c r="AY8" s="1">
        <f>B29</f>
        <v>432</v>
      </c>
      <c r="AZ8" t="s">
        <v>119</v>
      </c>
      <c r="BA8" t="s">
        <v>411</v>
      </c>
      <c r="BB8" s="1">
        <f>B29</f>
        <v>432</v>
      </c>
      <c r="BC8" t="s">
        <v>119</v>
      </c>
      <c r="BD8" t="s">
        <v>411</v>
      </c>
      <c r="BE8" s="1">
        <f>B29</f>
        <v>432</v>
      </c>
      <c r="BF8" t="s">
        <v>119</v>
      </c>
      <c r="BG8" t="s">
        <v>411</v>
      </c>
      <c r="BH8" s="1">
        <f>B29</f>
        <v>432</v>
      </c>
      <c r="BI8" t="s">
        <v>119</v>
      </c>
      <c r="BJ8" t="s">
        <v>411</v>
      </c>
      <c r="BK8" s="1">
        <f>B29</f>
        <v>432</v>
      </c>
      <c r="BL8" t="s">
        <v>119</v>
      </c>
      <c r="BM8" t="s">
        <v>411</v>
      </c>
      <c r="BN8" s="1">
        <f>B29</f>
        <v>432</v>
      </c>
      <c r="BO8" t="s">
        <v>119</v>
      </c>
      <c r="BP8" t="s">
        <v>411</v>
      </c>
      <c r="BQ8" s="1">
        <f>B29</f>
        <v>432</v>
      </c>
      <c r="BR8" t="s">
        <v>119</v>
      </c>
      <c r="BS8" t="s">
        <v>51</v>
      </c>
      <c r="BT8">
        <v>75</v>
      </c>
      <c r="BU8" t="s">
        <v>60</v>
      </c>
      <c r="BV8" t="s">
        <v>446</v>
      </c>
      <c r="BW8" s="1">
        <f>H8</f>
        <v>1.8E-7</v>
      </c>
      <c r="BX8" t="s">
        <v>61</v>
      </c>
      <c r="BY8" t="s">
        <v>460</v>
      </c>
      <c r="BZ8" s="1">
        <f>K8</f>
        <v>3.7100000000000001E-2</v>
      </c>
      <c r="CA8" t="s">
        <v>147</v>
      </c>
      <c r="CB8" t="s">
        <v>411</v>
      </c>
      <c r="CC8" s="1">
        <f>B29</f>
        <v>432</v>
      </c>
      <c r="CD8" t="s">
        <v>119</v>
      </c>
      <c r="CE8" t="s">
        <v>411</v>
      </c>
      <c r="CF8" s="1">
        <f>B29</f>
        <v>432</v>
      </c>
      <c r="CG8" t="s">
        <v>119</v>
      </c>
      <c r="CH8" t="s">
        <v>411</v>
      </c>
      <c r="CI8" s="1">
        <f>B29</f>
        <v>432</v>
      </c>
      <c r="CJ8" t="s">
        <v>119</v>
      </c>
      <c r="CK8" t="s">
        <v>99</v>
      </c>
      <c r="CL8">
        <v>1</v>
      </c>
      <c r="CM8" t="s">
        <v>253</v>
      </c>
      <c r="CN8" t="s">
        <v>64</v>
      </c>
      <c r="CO8">
        <v>5.0000000000000001E-3</v>
      </c>
      <c r="CT8" t="s">
        <v>460</v>
      </c>
      <c r="CU8" s="1">
        <f>B21</f>
        <v>3.7100000000000001E-2</v>
      </c>
      <c r="CV8" t="s">
        <v>147</v>
      </c>
      <c r="CW8" t="s">
        <v>51</v>
      </c>
      <c r="CX8">
        <v>350</v>
      </c>
      <c r="CY8" t="s">
        <v>60</v>
      </c>
      <c r="CZ8" t="s">
        <v>461</v>
      </c>
      <c r="DA8" s="14">
        <f>B27</f>
        <v>1.8E-7</v>
      </c>
      <c r="DB8" t="s">
        <v>61</v>
      </c>
      <c r="DC8" t="s">
        <v>469</v>
      </c>
      <c r="DD8" s="427">
        <f>(DD9*DD15*DD16*DD22)+(DD10*DD14*DD17*DD23)</f>
        <v>9024.75</v>
      </c>
      <c r="DE8" t="s">
        <v>213</v>
      </c>
      <c r="DF8" t="s">
        <v>68</v>
      </c>
      <c r="DG8">
        <v>3.62</v>
      </c>
      <c r="DH8" t="s">
        <v>69</v>
      </c>
      <c r="DI8" t="s">
        <v>70</v>
      </c>
      <c r="DJ8">
        <v>0.26</v>
      </c>
      <c r="DL8" t="s">
        <v>70</v>
      </c>
      <c r="DM8">
        <v>0.26</v>
      </c>
      <c r="DO8" t="s">
        <v>68</v>
      </c>
      <c r="DP8">
        <v>3.62</v>
      </c>
      <c r="DQ8" t="s">
        <v>69</v>
      </c>
      <c r="DR8" t="s">
        <v>257</v>
      </c>
      <c r="DS8" s="402">
        <f>(DS11*DS13*DS9*DS19)+(DS12*DS14*DS10*DS20)</f>
        <v>196402.5</v>
      </c>
      <c r="DT8" t="s">
        <v>213</v>
      </c>
      <c r="DX8" t="s">
        <v>70</v>
      </c>
      <c r="DY8">
        <v>0.25</v>
      </c>
      <c r="EA8" t="s">
        <v>70</v>
      </c>
      <c r="EB8">
        <v>0.25</v>
      </c>
      <c r="ED8" t="s">
        <v>70</v>
      </c>
      <c r="EE8">
        <v>0.25</v>
      </c>
      <c r="EG8" t="s">
        <v>258</v>
      </c>
      <c r="EH8" s="427">
        <f>(EH13*EH11*EH9*EH19)+(EH14*EH12*EH10*EH20)</f>
        <v>41592.465753424665</v>
      </c>
      <c r="EI8" t="s">
        <v>213</v>
      </c>
      <c r="EM8" t="s">
        <v>70</v>
      </c>
      <c r="EN8">
        <v>0.25</v>
      </c>
      <c r="EP8" t="s">
        <v>70</v>
      </c>
      <c r="EQ8">
        <v>0.25</v>
      </c>
      <c r="ES8" t="s">
        <v>70</v>
      </c>
      <c r="ET8">
        <v>0.25</v>
      </c>
      <c r="EV8" t="s">
        <v>260</v>
      </c>
      <c r="EW8" s="427">
        <f>(EW11*EW13*EW9*EW19)+(EW12*EW14*EW10*EW20)</f>
        <v>12475.342465753425</v>
      </c>
      <c r="EX8" t="s">
        <v>213</v>
      </c>
      <c r="FB8" t="s">
        <v>290</v>
      </c>
      <c r="FC8">
        <v>0.25</v>
      </c>
      <c r="FE8" t="s">
        <v>290</v>
      </c>
      <c r="FF8">
        <v>0.25</v>
      </c>
      <c r="FH8" t="s">
        <v>290</v>
      </c>
      <c r="FI8">
        <v>0.25</v>
      </c>
      <c r="FK8" t="s">
        <v>263</v>
      </c>
      <c r="FL8" s="427">
        <f>(FL13*FL9*FL11*FL19)+(FL14*FL10*FL12*FL20)</f>
        <v>38250.684931506847</v>
      </c>
      <c r="FM8" t="s">
        <v>213</v>
      </c>
      <c r="FT8" t="s">
        <v>285</v>
      </c>
      <c r="FU8">
        <v>0.25</v>
      </c>
      <c r="FW8" t="s">
        <v>285</v>
      </c>
      <c r="FX8">
        <v>0.25</v>
      </c>
      <c r="FZ8" t="s">
        <v>266</v>
      </c>
      <c r="GA8" s="427">
        <f>(GA11*GA9*GA13*GA19)+(GA14*GA10*GA12*GA20)</f>
        <v>29898.630136986299</v>
      </c>
      <c r="GB8" t="s">
        <v>213</v>
      </c>
      <c r="GF8" t="s">
        <v>279</v>
      </c>
      <c r="GG8">
        <v>0.25</v>
      </c>
      <c r="GI8" t="s">
        <v>279</v>
      </c>
      <c r="GJ8">
        <v>0.25</v>
      </c>
      <c r="GL8" t="s">
        <v>279</v>
      </c>
      <c r="GM8">
        <v>0.25</v>
      </c>
      <c r="GO8" t="s">
        <v>267</v>
      </c>
      <c r="GP8" s="427">
        <f>(GP13*GP9*GP11*GP18)+(GP14*GP10*GP12*GP19)</f>
        <v>23224.657534246577</v>
      </c>
      <c r="GQ8" t="s">
        <v>213</v>
      </c>
      <c r="GU8" t="s">
        <v>284</v>
      </c>
      <c r="GV8">
        <v>0.25</v>
      </c>
      <c r="GX8" t="s">
        <v>284</v>
      </c>
      <c r="GY8">
        <v>0.25</v>
      </c>
      <c r="HA8" t="s">
        <v>284</v>
      </c>
      <c r="HB8">
        <v>0.25</v>
      </c>
      <c r="HD8" t="s">
        <v>411</v>
      </c>
      <c r="HE8" s="1">
        <f>B29</f>
        <v>432</v>
      </c>
      <c r="HF8" t="s">
        <v>119</v>
      </c>
    </row>
    <row r="9" spans="1:214" x14ac:dyDescent="0.2">
      <c r="A9" s="424" t="s">
        <v>488</v>
      </c>
      <c r="B9" s="417">
        <v>2.2599999999999999E-4</v>
      </c>
      <c r="C9" s="418"/>
      <c r="D9" t="s">
        <v>65</v>
      </c>
      <c r="E9">
        <v>1</v>
      </c>
      <c r="F9" t="s">
        <v>59</v>
      </c>
      <c r="G9" t="s">
        <v>447</v>
      </c>
      <c r="H9" s="1">
        <f>B28</f>
        <v>7.3999999999999999E-4</v>
      </c>
      <c r="I9" t="s">
        <v>61</v>
      </c>
      <c r="J9" t="s">
        <v>447</v>
      </c>
      <c r="K9" s="1">
        <f>B28</f>
        <v>7.3999999999999999E-4</v>
      </c>
      <c r="L9" t="s">
        <v>61</v>
      </c>
      <c r="M9" t="s">
        <v>51</v>
      </c>
      <c r="N9">
        <v>350</v>
      </c>
      <c r="O9" t="s">
        <v>60</v>
      </c>
      <c r="P9" t="s">
        <v>51</v>
      </c>
      <c r="Q9">
        <v>350</v>
      </c>
      <c r="R9" t="s">
        <v>60</v>
      </c>
      <c r="S9" t="s">
        <v>51</v>
      </c>
      <c r="T9">
        <v>350</v>
      </c>
      <c r="U9" t="s">
        <v>60</v>
      </c>
      <c r="V9" t="s">
        <v>65</v>
      </c>
      <c r="W9">
        <v>1</v>
      </c>
      <c r="X9" t="s">
        <v>59</v>
      </c>
      <c r="Y9" t="s">
        <v>65</v>
      </c>
      <c r="Z9">
        <v>1</v>
      </c>
      <c r="AA9" t="s">
        <v>59</v>
      </c>
      <c r="AB9" t="s">
        <v>438</v>
      </c>
      <c r="AC9" s="1">
        <f>B19</f>
        <v>7.3999999999999999E-4</v>
      </c>
      <c r="AD9" s="1">
        <f>B19</f>
        <v>7.3999999999999999E-4</v>
      </c>
      <c r="AE9" s="1">
        <f>B19</f>
        <v>7.3999999999999999E-4</v>
      </c>
      <c r="AF9" s="1">
        <f>B19</f>
        <v>7.3999999999999999E-4</v>
      </c>
      <c r="AG9" s="1">
        <f>B19</f>
        <v>7.3999999999999999E-4</v>
      </c>
      <c r="AH9" t="s">
        <v>61</v>
      </c>
      <c r="AI9" t="s">
        <v>51</v>
      </c>
      <c r="AJ9">
        <v>250</v>
      </c>
      <c r="AK9" t="s">
        <v>60</v>
      </c>
      <c r="AL9" t="s">
        <v>51</v>
      </c>
      <c r="AM9">
        <v>250</v>
      </c>
      <c r="AN9" t="s">
        <v>60</v>
      </c>
      <c r="AO9" t="s">
        <v>51</v>
      </c>
      <c r="AP9">
        <v>250</v>
      </c>
      <c r="AQ9" t="s">
        <v>60</v>
      </c>
      <c r="AR9" t="s">
        <v>51</v>
      </c>
      <c r="AS9">
        <v>225</v>
      </c>
      <c r="AT9" t="s">
        <v>60</v>
      </c>
      <c r="AU9" t="s">
        <v>51</v>
      </c>
      <c r="AV9">
        <v>225</v>
      </c>
      <c r="AW9" t="s">
        <v>60</v>
      </c>
      <c r="AX9" t="s">
        <v>51</v>
      </c>
      <c r="AY9">
        <v>225</v>
      </c>
      <c r="AZ9" t="s">
        <v>60</v>
      </c>
      <c r="BA9" t="s">
        <v>51</v>
      </c>
      <c r="BB9">
        <v>250</v>
      </c>
      <c r="BC9" t="s">
        <v>60</v>
      </c>
      <c r="BD9" t="s">
        <v>51</v>
      </c>
      <c r="BE9">
        <v>250</v>
      </c>
      <c r="BF9" t="s">
        <v>60</v>
      </c>
      <c r="BG9" t="s">
        <v>51</v>
      </c>
      <c r="BH9">
        <v>250</v>
      </c>
      <c r="BI9" t="s">
        <v>60</v>
      </c>
      <c r="BJ9" t="s">
        <v>51</v>
      </c>
      <c r="BK9">
        <f>BK10*BK11</f>
        <v>250</v>
      </c>
      <c r="BL9" t="s">
        <v>60</v>
      </c>
      <c r="BM9" t="s">
        <v>51</v>
      </c>
      <c r="BN9">
        <f>BN10*BN11</f>
        <v>250</v>
      </c>
      <c r="BO9" t="s">
        <v>60</v>
      </c>
      <c r="BP9" t="s">
        <v>51</v>
      </c>
      <c r="BQ9">
        <f>BQ10*BQ11</f>
        <v>250</v>
      </c>
      <c r="BR9" t="s">
        <v>60</v>
      </c>
      <c r="BS9" t="s">
        <v>65</v>
      </c>
      <c r="BT9">
        <v>1</v>
      </c>
      <c r="BU9" t="s">
        <v>59</v>
      </c>
      <c r="BV9" t="s">
        <v>447</v>
      </c>
      <c r="BW9" s="1">
        <f>E35</f>
        <v>7.3999999999999999E-4</v>
      </c>
      <c r="BX9" t="s">
        <v>61</v>
      </c>
      <c r="BY9" t="s">
        <v>148</v>
      </c>
      <c r="BZ9" s="1">
        <f>B30</f>
        <v>1359344473.5814338</v>
      </c>
      <c r="CA9" t="s">
        <v>149</v>
      </c>
      <c r="CB9" t="s">
        <v>51</v>
      </c>
      <c r="CC9">
        <v>75</v>
      </c>
      <c r="CD9" t="s">
        <v>60</v>
      </c>
      <c r="CE9" t="s">
        <v>51</v>
      </c>
      <c r="CF9">
        <v>75</v>
      </c>
      <c r="CG9" t="s">
        <v>60</v>
      </c>
      <c r="CH9" t="s">
        <v>51</v>
      </c>
      <c r="CI9">
        <v>75</v>
      </c>
      <c r="CJ9" t="s">
        <v>60</v>
      </c>
      <c r="CK9" t="s">
        <v>300</v>
      </c>
      <c r="CL9" s="17">
        <v>1</v>
      </c>
      <c r="CM9" t="s">
        <v>380</v>
      </c>
      <c r="CN9" t="s">
        <v>310</v>
      </c>
      <c r="CO9" s="17">
        <v>0.25</v>
      </c>
      <c r="CT9" t="s">
        <v>447</v>
      </c>
      <c r="CU9" s="1">
        <f>B28</f>
        <v>7.3999999999999999E-4</v>
      </c>
      <c r="CV9" t="s">
        <v>61</v>
      </c>
      <c r="CW9" t="s">
        <v>65</v>
      </c>
      <c r="CX9">
        <v>1</v>
      </c>
      <c r="CY9" t="s">
        <v>59</v>
      </c>
      <c r="CZ9" t="s">
        <v>447</v>
      </c>
      <c r="DA9" s="1">
        <f>B28</f>
        <v>7.3999999999999999E-4</v>
      </c>
      <c r="DB9" t="s">
        <v>61</v>
      </c>
      <c r="DC9" t="s">
        <v>467</v>
      </c>
      <c r="DD9" s="1">
        <f>B54</f>
        <v>10.4</v>
      </c>
      <c r="DE9" t="s">
        <v>380</v>
      </c>
      <c r="DF9" t="s">
        <v>74</v>
      </c>
      <c r="DG9">
        <v>0.25</v>
      </c>
      <c r="DH9" t="s">
        <v>75</v>
      </c>
      <c r="DO9" t="s">
        <v>74</v>
      </c>
      <c r="DP9">
        <v>0.25</v>
      </c>
      <c r="DQ9" t="s">
        <v>75</v>
      </c>
      <c r="DR9" t="s">
        <v>254</v>
      </c>
      <c r="DS9">
        <f>B57</f>
        <v>256</v>
      </c>
      <c r="DT9" t="s">
        <v>380</v>
      </c>
      <c r="DX9" t="s">
        <v>317</v>
      </c>
      <c r="DY9" s="1">
        <f>B35</f>
        <v>1.9999999999999999E-6</v>
      </c>
      <c r="EA9" t="s">
        <v>317</v>
      </c>
      <c r="EB9" s="1">
        <f>B35</f>
        <v>1.9999999999999999E-6</v>
      </c>
      <c r="ED9" t="s">
        <v>317</v>
      </c>
      <c r="EE9" s="1">
        <f>B35</f>
        <v>1.9999999999999999E-6</v>
      </c>
      <c r="EG9" t="s">
        <v>91</v>
      </c>
      <c r="EH9">
        <f>4.7*1000/365</f>
        <v>12.876712328767123</v>
      </c>
      <c r="EI9" t="s">
        <v>380</v>
      </c>
      <c r="EM9" t="s">
        <v>318</v>
      </c>
      <c r="EN9" s="1">
        <f>B36</f>
        <v>5.0000000000000002E-5</v>
      </c>
      <c r="EP9" t="s">
        <v>318</v>
      </c>
      <c r="EQ9" s="1">
        <f>B36</f>
        <v>5.0000000000000002E-5</v>
      </c>
      <c r="ES9" t="s">
        <v>318</v>
      </c>
      <c r="ET9" s="1">
        <f>B36</f>
        <v>5.0000000000000002E-5</v>
      </c>
      <c r="EV9" t="s">
        <v>261</v>
      </c>
      <c r="EW9">
        <f>2.3*1000/365</f>
        <v>6.3013698630136989</v>
      </c>
      <c r="EX9" t="s">
        <v>380</v>
      </c>
      <c r="FB9" t="s">
        <v>319</v>
      </c>
      <c r="FC9" s="406">
        <f>B38</f>
        <v>4.0000000000000001E-3</v>
      </c>
      <c r="FE9" t="s">
        <v>319</v>
      </c>
      <c r="FF9" s="406">
        <f>B38</f>
        <v>4.0000000000000001E-3</v>
      </c>
      <c r="FH9" t="s">
        <v>319</v>
      </c>
      <c r="FI9" s="406">
        <f>B38</f>
        <v>4.0000000000000001E-3</v>
      </c>
      <c r="FK9" t="s">
        <v>235</v>
      </c>
      <c r="FL9">
        <f>6.4*1000/365</f>
        <v>17.534246575342465</v>
      </c>
      <c r="FM9" t="s">
        <v>380</v>
      </c>
      <c r="FT9" t="s">
        <v>320</v>
      </c>
      <c r="FU9" s="17">
        <v>1</v>
      </c>
      <c r="FW9" t="s">
        <v>320</v>
      </c>
      <c r="FX9" s="17">
        <v>1</v>
      </c>
      <c r="FZ9" t="s">
        <v>233</v>
      </c>
      <c r="GA9" s="15">
        <f>5*1000/365</f>
        <v>13.698630136986301</v>
      </c>
      <c r="GB9" t="s">
        <v>380</v>
      </c>
      <c r="GF9" t="s">
        <v>321</v>
      </c>
      <c r="GG9" s="406">
        <f>B37</f>
        <v>6.0000000000000001E-3</v>
      </c>
      <c r="GI9" t="s">
        <v>321</v>
      </c>
      <c r="GJ9" s="406">
        <f>B37</f>
        <v>6.0000000000000001E-3</v>
      </c>
      <c r="GL9" t="s">
        <v>321</v>
      </c>
      <c r="GM9" s="406">
        <f>B37</f>
        <v>6.0000000000000001E-3</v>
      </c>
      <c r="GO9" t="s">
        <v>269</v>
      </c>
      <c r="GP9">
        <f>4.5*1000/365</f>
        <v>12.328767123287671</v>
      </c>
      <c r="GQ9" t="s">
        <v>380</v>
      </c>
      <c r="GU9" t="s">
        <v>322</v>
      </c>
      <c r="GV9" s="406">
        <f>B39</f>
        <v>1.7000000000000001E-4</v>
      </c>
      <c r="GX9" t="s">
        <v>322</v>
      </c>
      <c r="GY9" s="406">
        <f>B39</f>
        <v>1.7000000000000001E-4</v>
      </c>
      <c r="HA9" t="s">
        <v>322</v>
      </c>
      <c r="HB9" s="406">
        <f>B39</f>
        <v>1.7000000000000001E-4</v>
      </c>
      <c r="HD9" t="s">
        <v>71</v>
      </c>
      <c r="HE9">
        <v>0.3</v>
      </c>
    </row>
    <row r="10" spans="1:214" x14ac:dyDescent="0.2">
      <c r="A10" s="424" t="s">
        <v>428</v>
      </c>
      <c r="B10" s="417">
        <v>0.66200000000000003</v>
      </c>
      <c r="C10" s="418"/>
      <c r="D10" t="s">
        <v>436</v>
      </c>
      <c r="E10" s="1">
        <f>B17</f>
        <v>0.155</v>
      </c>
      <c r="F10" t="s">
        <v>61</v>
      </c>
      <c r="G10" t="s">
        <v>451</v>
      </c>
      <c r="H10" s="1">
        <f>H5/(H6*H15)</f>
        <v>1.8358833282022748</v>
      </c>
      <c r="I10" t="s">
        <v>21</v>
      </c>
      <c r="J10" t="s">
        <v>148</v>
      </c>
      <c r="K10" s="1">
        <f>B30</f>
        <v>1359344473.5814338</v>
      </c>
      <c r="L10" t="s">
        <v>149</v>
      </c>
      <c r="M10" t="s">
        <v>65</v>
      </c>
      <c r="N10">
        <v>1</v>
      </c>
      <c r="O10" t="s">
        <v>59</v>
      </c>
      <c r="P10" t="s">
        <v>65</v>
      </c>
      <c r="Q10">
        <v>1</v>
      </c>
      <c r="R10" t="s">
        <v>59</v>
      </c>
      <c r="S10" t="s">
        <v>65</v>
      </c>
      <c r="T10">
        <v>1</v>
      </c>
      <c r="U10" t="s">
        <v>59</v>
      </c>
      <c r="V10" t="s">
        <v>436</v>
      </c>
      <c r="W10" s="1">
        <f>B17</f>
        <v>0.155</v>
      </c>
      <c r="X10" t="s">
        <v>72</v>
      </c>
      <c r="Y10" t="s">
        <v>436</v>
      </c>
      <c r="Z10" s="1">
        <f>B17</f>
        <v>0.155</v>
      </c>
      <c r="AA10" t="s">
        <v>72</v>
      </c>
      <c r="AI10" t="s">
        <v>65</v>
      </c>
      <c r="AJ10">
        <v>1</v>
      </c>
      <c r="AK10" t="s">
        <v>59</v>
      </c>
      <c r="AL10" t="s">
        <v>65</v>
      </c>
      <c r="AM10">
        <v>1</v>
      </c>
      <c r="AN10" t="s">
        <v>59</v>
      </c>
      <c r="AO10" t="s">
        <v>65</v>
      </c>
      <c r="AP10">
        <v>1</v>
      </c>
      <c r="AQ10" t="s">
        <v>59</v>
      </c>
      <c r="AR10" t="s">
        <v>65</v>
      </c>
      <c r="AS10">
        <v>1</v>
      </c>
      <c r="AT10" t="s">
        <v>59</v>
      </c>
      <c r="AU10" t="s">
        <v>65</v>
      </c>
      <c r="AV10">
        <v>1</v>
      </c>
      <c r="AW10" t="s">
        <v>59</v>
      </c>
      <c r="AX10" t="s">
        <v>65</v>
      </c>
      <c r="AY10">
        <v>1</v>
      </c>
      <c r="AZ10" t="s">
        <v>59</v>
      </c>
      <c r="BA10" t="s">
        <v>65</v>
      </c>
      <c r="BB10">
        <v>1</v>
      </c>
      <c r="BC10" t="s">
        <v>59</v>
      </c>
      <c r="BD10" t="s">
        <v>65</v>
      </c>
      <c r="BE10">
        <v>1</v>
      </c>
      <c r="BF10" t="s">
        <v>59</v>
      </c>
      <c r="BG10" t="s">
        <v>65</v>
      </c>
      <c r="BH10">
        <v>1</v>
      </c>
      <c r="BI10" t="s">
        <v>59</v>
      </c>
      <c r="BJ10" t="s">
        <v>378</v>
      </c>
      <c r="BK10">
        <v>50</v>
      </c>
      <c r="BL10" t="s">
        <v>389</v>
      </c>
      <c r="BM10" t="s">
        <v>378</v>
      </c>
      <c r="BN10">
        <v>50</v>
      </c>
      <c r="BO10" t="s">
        <v>389</v>
      </c>
      <c r="BP10" t="s">
        <v>378</v>
      </c>
      <c r="BQ10">
        <v>50</v>
      </c>
      <c r="BR10" t="s">
        <v>389</v>
      </c>
      <c r="BS10" t="s">
        <v>436</v>
      </c>
      <c r="BT10" s="1">
        <f>B17</f>
        <v>0.155</v>
      </c>
      <c r="BU10" t="s">
        <v>61</v>
      </c>
      <c r="BV10" t="s">
        <v>451</v>
      </c>
      <c r="BW10" s="1">
        <f>BW5/(BW6*BW13)</f>
        <v>9.1554969603750109</v>
      </c>
      <c r="BX10" t="s">
        <v>21</v>
      </c>
      <c r="BY10" t="s">
        <v>37</v>
      </c>
      <c r="BZ10" s="1">
        <f>(BZ33*BZ11)/(1-EXP(-BZ11*BZ33))</f>
        <v>1.0209991278862993</v>
      </c>
      <c r="CB10" t="s">
        <v>65</v>
      </c>
      <c r="CC10">
        <v>1</v>
      </c>
      <c r="CD10" t="s">
        <v>59</v>
      </c>
      <c r="CE10" t="s">
        <v>65</v>
      </c>
      <c r="CF10">
        <v>1</v>
      </c>
      <c r="CG10" t="s">
        <v>59</v>
      </c>
      <c r="CH10" t="s">
        <v>65</v>
      </c>
      <c r="CI10">
        <v>1</v>
      </c>
      <c r="CJ10" t="s">
        <v>59</v>
      </c>
      <c r="CN10" t="s">
        <v>308</v>
      </c>
      <c r="CO10" s="17">
        <v>1</v>
      </c>
      <c r="CP10" t="s">
        <v>431</v>
      </c>
      <c r="CT10" t="s">
        <v>148</v>
      </c>
      <c r="CU10" s="1">
        <f>B30</f>
        <v>1359344473.5814338</v>
      </c>
      <c r="CV10" t="s">
        <v>149</v>
      </c>
      <c r="CW10" t="s">
        <v>436</v>
      </c>
      <c r="CX10" s="1">
        <f>B17</f>
        <v>0.155</v>
      </c>
      <c r="CY10" t="s">
        <v>61</v>
      </c>
      <c r="CZ10" t="s">
        <v>37</v>
      </c>
      <c r="DA10" s="1">
        <f>(DA39*DA11)/(1-EXP(-DA11*DA39))</f>
        <v>1.0008022977791844</v>
      </c>
      <c r="DC10" t="s">
        <v>468</v>
      </c>
      <c r="DD10" s="1">
        <f>B55</f>
        <v>28.5</v>
      </c>
      <c r="DE10" t="s">
        <v>380</v>
      </c>
      <c r="DF10" t="s">
        <v>63</v>
      </c>
      <c r="DG10">
        <f>B40</f>
        <v>5.0000000000000002E-5</v>
      </c>
      <c r="DO10" t="s">
        <v>63</v>
      </c>
      <c r="DP10">
        <f>B40</f>
        <v>5.0000000000000002E-5</v>
      </c>
      <c r="DR10" t="s">
        <v>255</v>
      </c>
      <c r="DS10">
        <f>B58</f>
        <v>615</v>
      </c>
      <c r="DT10" t="s">
        <v>380</v>
      </c>
      <c r="DX10" t="s">
        <v>84</v>
      </c>
      <c r="DY10">
        <v>16.899999999999999</v>
      </c>
      <c r="EA10" t="s">
        <v>84</v>
      </c>
      <c r="EB10">
        <v>16.899999999999999</v>
      </c>
      <c r="ED10" t="s">
        <v>84</v>
      </c>
      <c r="EE10">
        <v>16.899999999999999</v>
      </c>
      <c r="EG10" t="s">
        <v>109</v>
      </c>
      <c r="EH10">
        <f>50.2*1000/365</f>
        <v>137.53424657534248</v>
      </c>
      <c r="EI10" t="s">
        <v>380</v>
      </c>
      <c r="EM10" t="s">
        <v>85</v>
      </c>
      <c r="EN10">
        <v>11.77</v>
      </c>
      <c r="EP10" t="s">
        <v>85</v>
      </c>
      <c r="EQ10">
        <v>11.77</v>
      </c>
      <c r="ES10" t="s">
        <v>85</v>
      </c>
      <c r="ET10">
        <v>11.77</v>
      </c>
      <c r="EV10" t="s">
        <v>262</v>
      </c>
      <c r="EW10">
        <f>14.9*1000/365</f>
        <v>40.821917808219176</v>
      </c>
      <c r="EX10" t="s">
        <v>380</v>
      </c>
      <c r="FB10" t="s">
        <v>292</v>
      </c>
      <c r="FC10">
        <v>0.2</v>
      </c>
      <c r="FE10" t="s">
        <v>292</v>
      </c>
      <c r="FF10">
        <v>0.2</v>
      </c>
      <c r="FH10" t="s">
        <v>292</v>
      </c>
      <c r="FI10">
        <v>0.2</v>
      </c>
      <c r="FK10" t="s">
        <v>236</v>
      </c>
      <c r="FL10">
        <f>45.8*1000/365</f>
        <v>125.47945205479452</v>
      </c>
      <c r="FM10" t="s">
        <v>380</v>
      </c>
      <c r="FT10" t="s">
        <v>289</v>
      </c>
      <c r="FU10" s="17">
        <v>1</v>
      </c>
      <c r="FW10" t="s">
        <v>289</v>
      </c>
      <c r="FX10" s="17">
        <v>1</v>
      </c>
      <c r="FZ10" t="s">
        <v>234</v>
      </c>
      <c r="GA10">
        <f>35.8*1000/365</f>
        <v>98.082191780821915</v>
      </c>
      <c r="GB10" t="s">
        <v>380</v>
      </c>
      <c r="GF10" t="s">
        <v>275</v>
      </c>
      <c r="GG10">
        <v>0.2</v>
      </c>
      <c r="GI10" t="s">
        <v>275</v>
      </c>
      <c r="GJ10">
        <v>0.2</v>
      </c>
      <c r="GL10" t="s">
        <v>275</v>
      </c>
      <c r="GM10">
        <v>0.2</v>
      </c>
      <c r="GO10" t="s">
        <v>268</v>
      </c>
      <c r="GP10">
        <f>27.7*1000/365</f>
        <v>75.890410958904113</v>
      </c>
      <c r="GQ10" t="s">
        <v>380</v>
      </c>
      <c r="GU10" t="s">
        <v>280</v>
      </c>
      <c r="GV10">
        <v>4.7</v>
      </c>
      <c r="GX10" t="s">
        <v>280</v>
      </c>
      <c r="GY10">
        <v>4.7</v>
      </c>
      <c r="HA10" t="s">
        <v>280</v>
      </c>
      <c r="HB10">
        <v>4.7</v>
      </c>
      <c r="HD10" t="s">
        <v>76</v>
      </c>
      <c r="HE10" s="1">
        <v>1.5</v>
      </c>
    </row>
    <row r="11" spans="1:214" x14ac:dyDescent="0.2">
      <c r="A11" s="424" t="s">
        <v>489</v>
      </c>
      <c r="B11" s="417">
        <v>1.5699999999999999E-5</v>
      </c>
      <c r="C11" s="418"/>
      <c r="D11" t="s">
        <v>77</v>
      </c>
      <c r="E11" s="427">
        <f>((E14/E15)*E24*E12*E16*E26)+((E14/E15)*E25*E13*E17*E27)</f>
        <v>6192.3076923076924</v>
      </c>
      <c r="F11" t="s">
        <v>407</v>
      </c>
      <c r="G11" t="s">
        <v>452</v>
      </c>
      <c r="H11" s="1">
        <f>H5/(H7*H16*H28)</f>
        <v>2.0837507513524344E-3</v>
      </c>
      <c r="I11" t="s">
        <v>21</v>
      </c>
      <c r="J11" t="s">
        <v>37</v>
      </c>
      <c r="K11" s="1">
        <f>(K45*K12)/(1-EXP(-K12*K45))</f>
        <v>1.0209991278862993</v>
      </c>
      <c r="M11" t="s">
        <v>462</v>
      </c>
      <c r="N11">
        <v>0.4</v>
      </c>
      <c r="P11" t="s">
        <v>462</v>
      </c>
      <c r="Q11">
        <v>0.4</v>
      </c>
      <c r="S11" t="s">
        <v>462</v>
      </c>
      <c r="T11">
        <v>0.4</v>
      </c>
      <c r="V11" t="s">
        <v>79</v>
      </c>
      <c r="W11">
        <v>8</v>
      </c>
      <c r="X11" t="s">
        <v>80</v>
      </c>
      <c r="Y11" t="s">
        <v>79</v>
      </c>
      <c r="Z11">
        <v>8</v>
      </c>
      <c r="AA11" t="s">
        <v>80</v>
      </c>
      <c r="AB11" t="s">
        <v>65</v>
      </c>
      <c r="AC11">
        <v>1</v>
      </c>
      <c r="AD11">
        <v>1</v>
      </c>
      <c r="AE11">
        <v>1</v>
      </c>
      <c r="AF11">
        <v>1</v>
      </c>
      <c r="AG11">
        <v>1</v>
      </c>
      <c r="AH11" t="s">
        <v>88</v>
      </c>
      <c r="AI11" t="s">
        <v>462</v>
      </c>
      <c r="AJ11">
        <v>0.4</v>
      </c>
      <c r="AL11" t="s">
        <v>462</v>
      </c>
      <c r="AM11">
        <v>0.4</v>
      </c>
      <c r="AO11" t="s">
        <v>462</v>
      </c>
      <c r="AP11">
        <v>0.4</v>
      </c>
      <c r="AR11" t="s">
        <v>462</v>
      </c>
      <c r="AS11">
        <v>0.4</v>
      </c>
      <c r="AU11" t="s">
        <v>462</v>
      </c>
      <c r="AV11">
        <v>0.4</v>
      </c>
      <c r="AX11" t="s">
        <v>462</v>
      </c>
      <c r="AY11">
        <v>0.4</v>
      </c>
      <c r="BA11" t="s">
        <v>462</v>
      </c>
      <c r="BB11">
        <v>0.4</v>
      </c>
      <c r="BD11" t="s">
        <v>462</v>
      </c>
      <c r="BE11">
        <v>0.4</v>
      </c>
      <c r="BG11" t="s">
        <v>462</v>
      </c>
      <c r="BH11">
        <v>0.4</v>
      </c>
      <c r="BJ11" t="s">
        <v>377</v>
      </c>
      <c r="BK11">
        <v>5</v>
      </c>
      <c r="BL11" t="s">
        <v>390</v>
      </c>
      <c r="BM11" t="s">
        <v>377</v>
      </c>
      <c r="BN11">
        <v>5</v>
      </c>
      <c r="BO11" t="s">
        <v>390</v>
      </c>
      <c r="BP11" t="s">
        <v>377</v>
      </c>
      <c r="BQ11">
        <v>5</v>
      </c>
      <c r="BR11" t="s">
        <v>390</v>
      </c>
      <c r="BS11" t="s">
        <v>77</v>
      </c>
      <c r="BT11" s="427">
        <f>(BT25*BT17*BT14*(1/24)*BT12*BT29)+(BT26*BT18*BT15*(1/24)*BT13*BT30)</f>
        <v>93.75</v>
      </c>
      <c r="BU11" t="s">
        <v>407</v>
      </c>
      <c r="BV11" t="s">
        <v>452</v>
      </c>
      <c r="BW11" s="1"/>
      <c r="BX11" t="s">
        <v>21</v>
      </c>
      <c r="BY11" t="s">
        <v>49</v>
      </c>
      <c r="BZ11" s="1">
        <f>0.693/BZ12</f>
        <v>1.6041666666666665E-3</v>
      </c>
      <c r="CB11" t="s">
        <v>463</v>
      </c>
      <c r="CC11" s="1">
        <f>B2</f>
        <v>2.41E-4</v>
      </c>
      <c r="CE11" t="s">
        <v>463</v>
      </c>
      <c r="CF11" s="1">
        <f>B5</f>
        <v>1.17E-4</v>
      </c>
      <c r="CH11" t="s">
        <v>463</v>
      </c>
      <c r="CI11" s="1">
        <f>B9</f>
        <v>2.2599999999999999E-4</v>
      </c>
      <c r="CN11" t="s">
        <v>305</v>
      </c>
      <c r="CO11" s="17">
        <v>1</v>
      </c>
      <c r="CP11" t="s">
        <v>431</v>
      </c>
      <c r="CT11" t="s">
        <v>37</v>
      </c>
      <c r="CU11" s="1">
        <f>(CU45*CU12)/(1-EXP(-CU12*CU45))</f>
        <v>1.0324264232162026</v>
      </c>
      <c r="CW11" t="s">
        <v>77</v>
      </c>
      <c r="CX11" s="427">
        <f>((CX15/24)*CX24*CX12*CX16*CX26)+((CX14/24)*CX25*CX13*CX17*CX27)</f>
        <v>6475</v>
      </c>
      <c r="CY11" t="s">
        <v>407</v>
      </c>
      <c r="CZ11" t="s">
        <v>49</v>
      </c>
      <c r="DA11" s="1">
        <f>0.693/DA12</f>
        <v>1.6041666666666665E-3</v>
      </c>
      <c r="DC11" t="s">
        <v>470</v>
      </c>
      <c r="DD11" s="427">
        <f>(DD12*DD15*DD16*DD22)+(DD13*DD14*DD17*DD23)</f>
        <v>17496.5</v>
      </c>
      <c r="DE11" t="s">
        <v>213</v>
      </c>
      <c r="DF11" t="s">
        <v>92</v>
      </c>
      <c r="DG11">
        <f>DG19+DG20</f>
        <v>3.1394977168949772E-5</v>
      </c>
      <c r="DO11" t="s">
        <v>92</v>
      </c>
      <c r="DP11">
        <f>DP19+DP20</f>
        <v>2.6999999999999999E-5</v>
      </c>
      <c r="DR11" t="s">
        <v>67</v>
      </c>
      <c r="DS11">
        <v>350</v>
      </c>
      <c r="DT11" t="s">
        <v>52</v>
      </c>
      <c r="DX11" t="s">
        <v>93</v>
      </c>
      <c r="DY11">
        <v>0.41</v>
      </c>
      <c r="EA11" t="s">
        <v>93</v>
      </c>
      <c r="EB11">
        <v>0.41</v>
      </c>
      <c r="ED11" t="s">
        <v>93</v>
      </c>
      <c r="EE11">
        <v>0.41</v>
      </c>
      <c r="EG11" t="s">
        <v>67</v>
      </c>
      <c r="EH11">
        <v>350</v>
      </c>
      <c r="EI11" t="s">
        <v>52</v>
      </c>
      <c r="EM11" t="s">
        <v>94</v>
      </c>
      <c r="EN11">
        <v>0.39</v>
      </c>
      <c r="EP11" t="s">
        <v>94</v>
      </c>
      <c r="EQ11">
        <v>0.39</v>
      </c>
      <c r="ES11" t="s">
        <v>94</v>
      </c>
      <c r="ET11">
        <v>0.39</v>
      </c>
      <c r="EV11" t="s">
        <v>385</v>
      </c>
      <c r="EW11">
        <v>350</v>
      </c>
      <c r="EX11" t="s">
        <v>52</v>
      </c>
      <c r="FB11" t="s">
        <v>291</v>
      </c>
      <c r="FC11">
        <v>2.1999999999999999E-2</v>
      </c>
      <c r="FE11" t="s">
        <v>291</v>
      </c>
      <c r="FF11">
        <v>2.1999999999999999E-2</v>
      </c>
      <c r="FH11" t="s">
        <v>291</v>
      </c>
      <c r="FI11">
        <v>2.1999999999999999E-2</v>
      </c>
      <c r="FK11" t="s">
        <v>385</v>
      </c>
      <c r="FL11">
        <v>350</v>
      </c>
      <c r="FM11" t="s">
        <v>52</v>
      </c>
      <c r="FT11" t="s">
        <v>288</v>
      </c>
      <c r="FU11" s="17">
        <v>1</v>
      </c>
      <c r="FW11" t="s">
        <v>288</v>
      </c>
      <c r="FX11" s="17">
        <v>1</v>
      </c>
      <c r="FZ11" t="s">
        <v>385</v>
      </c>
      <c r="GA11">
        <v>350</v>
      </c>
      <c r="GB11" t="s">
        <v>52</v>
      </c>
      <c r="GF11" t="s">
        <v>276</v>
      </c>
      <c r="GG11">
        <v>2.1999999999999999E-2</v>
      </c>
      <c r="GI11" t="s">
        <v>276</v>
      </c>
      <c r="GJ11">
        <v>2.1999999999999999E-2</v>
      </c>
      <c r="GL11" t="s">
        <v>276</v>
      </c>
      <c r="GM11">
        <v>2.1999999999999999E-2</v>
      </c>
      <c r="GO11" t="s">
        <v>385</v>
      </c>
      <c r="GP11">
        <v>350</v>
      </c>
      <c r="GQ11" t="s">
        <v>52</v>
      </c>
      <c r="GU11" t="s">
        <v>281</v>
      </c>
      <c r="GV11">
        <v>0.37</v>
      </c>
      <c r="GX11" t="s">
        <v>281</v>
      </c>
      <c r="GY11">
        <v>0.37</v>
      </c>
      <c r="HA11" t="s">
        <v>281</v>
      </c>
      <c r="HB11">
        <v>0.37</v>
      </c>
      <c r="HD11" t="s">
        <v>86</v>
      </c>
      <c r="HE11">
        <v>26</v>
      </c>
    </row>
    <row r="12" spans="1:214" ht="13.5" thickBot="1" x14ac:dyDescent="0.25">
      <c r="A12" s="421" t="s">
        <v>429</v>
      </c>
      <c r="B12" s="422">
        <v>0.80900000000000005</v>
      </c>
      <c r="C12" s="423"/>
      <c r="D12" t="s">
        <v>87</v>
      </c>
      <c r="E12">
        <f>B45</f>
        <v>10</v>
      </c>
      <c r="F12" t="s">
        <v>78</v>
      </c>
      <c r="G12" t="s">
        <v>457</v>
      </c>
      <c r="H12" s="1">
        <f>H5/(H8*(1/H45)*H21)</f>
        <v>207295762.34163392</v>
      </c>
      <c r="I12" t="s">
        <v>21</v>
      </c>
      <c r="J12" t="s">
        <v>49</v>
      </c>
      <c r="K12" s="1">
        <f>0.693/K13</f>
        <v>1.6041666666666665E-3</v>
      </c>
      <c r="M12" t="s">
        <v>463</v>
      </c>
      <c r="N12" s="1">
        <f>B2</f>
        <v>2.41E-4</v>
      </c>
      <c r="P12" t="s">
        <v>463</v>
      </c>
      <c r="Q12" s="1">
        <f>B5</f>
        <v>1.17E-4</v>
      </c>
      <c r="S12" t="s">
        <v>463</v>
      </c>
      <c r="T12" s="1">
        <f>B9</f>
        <v>2.2599999999999999E-4</v>
      </c>
      <c r="W12">
        <v>24</v>
      </c>
      <c r="X12" t="s">
        <v>80</v>
      </c>
      <c r="Z12">
        <v>24</v>
      </c>
      <c r="AA12" t="s">
        <v>80</v>
      </c>
      <c r="AB12" t="s">
        <v>377</v>
      </c>
      <c r="AF12">
        <v>5</v>
      </c>
      <c r="AG12">
        <v>5</v>
      </c>
      <c r="AH12" t="s">
        <v>193</v>
      </c>
      <c r="AI12" t="s">
        <v>463</v>
      </c>
      <c r="AJ12" s="1">
        <f>B2</f>
        <v>2.41E-4</v>
      </c>
      <c r="AL12" t="s">
        <v>463</v>
      </c>
      <c r="AM12" s="1">
        <f>B5</f>
        <v>1.17E-4</v>
      </c>
      <c r="AO12" t="s">
        <v>463</v>
      </c>
      <c r="AP12" s="1">
        <f>B9</f>
        <v>2.2599999999999999E-4</v>
      </c>
      <c r="AR12" t="s">
        <v>463</v>
      </c>
      <c r="AS12" s="1">
        <f>B2</f>
        <v>2.41E-4</v>
      </c>
      <c r="AU12" t="s">
        <v>463</v>
      </c>
      <c r="AV12" s="1">
        <f>B5</f>
        <v>1.17E-4</v>
      </c>
      <c r="AX12" t="s">
        <v>463</v>
      </c>
      <c r="AY12" s="1">
        <f>B9</f>
        <v>2.2599999999999999E-4</v>
      </c>
      <c r="BA12" t="s">
        <v>463</v>
      </c>
      <c r="BB12" s="1">
        <f>B2</f>
        <v>2.41E-4</v>
      </c>
      <c r="BD12" t="s">
        <v>463</v>
      </c>
      <c r="BE12" s="1">
        <f>B5</f>
        <v>1.17E-4</v>
      </c>
      <c r="BG12" t="s">
        <v>463</v>
      </c>
      <c r="BH12" s="1">
        <f>B9</f>
        <v>2.2599999999999999E-4</v>
      </c>
      <c r="BJ12" t="s">
        <v>65</v>
      </c>
      <c r="BK12">
        <v>1</v>
      </c>
      <c r="BL12" t="s">
        <v>59</v>
      </c>
      <c r="BM12" t="s">
        <v>65</v>
      </c>
      <c r="BN12">
        <v>1</v>
      </c>
      <c r="BO12" t="s">
        <v>59</v>
      </c>
      <c r="BP12" t="s">
        <v>65</v>
      </c>
      <c r="BQ12">
        <v>1</v>
      </c>
      <c r="BR12" t="s">
        <v>59</v>
      </c>
      <c r="BS12" t="s">
        <v>87</v>
      </c>
      <c r="BT12">
        <f>B45</f>
        <v>10</v>
      </c>
      <c r="BU12" t="s">
        <v>78</v>
      </c>
      <c r="BV12" t="s">
        <v>457</v>
      </c>
      <c r="BW12" s="1">
        <f>BW5/(BW8*(1/BW32)*BW16)</f>
        <v>540740740.74074078</v>
      </c>
      <c r="BX12" t="s">
        <v>21</v>
      </c>
      <c r="BY12" t="s">
        <v>411</v>
      </c>
      <c r="BZ12" s="1">
        <f>B29</f>
        <v>432</v>
      </c>
      <c r="CA12" t="s">
        <v>119</v>
      </c>
      <c r="CB12" t="s">
        <v>105</v>
      </c>
      <c r="CC12" s="1">
        <f>B3</f>
        <v>0.753</v>
      </c>
      <c r="CE12" t="s">
        <v>105</v>
      </c>
      <c r="CF12" s="1">
        <f>B6</f>
        <v>0.74299999999999999</v>
      </c>
      <c r="CH12" t="s">
        <v>105</v>
      </c>
      <c r="CI12" s="1">
        <f>B10</f>
        <v>0.66200000000000003</v>
      </c>
      <c r="CN12" t="s">
        <v>306</v>
      </c>
      <c r="CO12" s="17">
        <v>1</v>
      </c>
      <c r="CP12" t="s">
        <v>75</v>
      </c>
      <c r="CT12" t="s">
        <v>49</v>
      </c>
      <c r="CU12" s="1">
        <f>0.693/CU13</f>
        <v>1.6041666666666665E-3</v>
      </c>
      <c r="CW12" t="s">
        <v>87</v>
      </c>
      <c r="CX12">
        <f>B45</f>
        <v>10</v>
      </c>
      <c r="CY12" t="s">
        <v>78</v>
      </c>
      <c r="CZ12" t="s">
        <v>411</v>
      </c>
      <c r="DA12" s="1">
        <f>B29</f>
        <v>432</v>
      </c>
      <c r="DB12" t="s">
        <v>119</v>
      </c>
      <c r="DC12" t="s">
        <v>471</v>
      </c>
      <c r="DD12" s="1">
        <f>B52</f>
        <v>14.8</v>
      </c>
      <c r="DE12" t="s">
        <v>380</v>
      </c>
      <c r="DF12" t="s">
        <v>101</v>
      </c>
      <c r="DG12">
        <v>10950</v>
      </c>
      <c r="DH12" t="s">
        <v>102</v>
      </c>
      <c r="DO12" t="s">
        <v>101</v>
      </c>
      <c r="DP12">
        <v>10950</v>
      </c>
      <c r="DQ12" t="s">
        <v>102</v>
      </c>
      <c r="DR12" t="s">
        <v>73</v>
      </c>
      <c r="DS12">
        <v>350</v>
      </c>
      <c r="DT12" t="s">
        <v>52</v>
      </c>
      <c r="DX12" t="s">
        <v>103</v>
      </c>
      <c r="DY12">
        <v>1</v>
      </c>
      <c r="EA12" t="s">
        <v>103</v>
      </c>
      <c r="EB12">
        <v>1</v>
      </c>
      <c r="ED12" t="s">
        <v>103</v>
      </c>
      <c r="EE12">
        <v>1</v>
      </c>
      <c r="EG12" t="s">
        <v>73</v>
      </c>
      <c r="EH12">
        <v>350</v>
      </c>
      <c r="EI12" t="s">
        <v>52</v>
      </c>
      <c r="EM12" t="s">
        <v>104</v>
      </c>
      <c r="EN12">
        <v>1</v>
      </c>
      <c r="EP12" t="s">
        <v>104</v>
      </c>
      <c r="EQ12">
        <v>1</v>
      </c>
      <c r="ES12" t="s">
        <v>104</v>
      </c>
      <c r="ET12">
        <v>1</v>
      </c>
      <c r="EV12" t="s">
        <v>386</v>
      </c>
      <c r="EW12">
        <v>350</v>
      </c>
      <c r="EX12" t="s">
        <v>52</v>
      </c>
      <c r="FB12" t="s">
        <v>293</v>
      </c>
      <c r="FC12" s="17">
        <v>1</v>
      </c>
      <c r="FE12" t="s">
        <v>293</v>
      </c>
      <c r="FF12" s="17">
        <v>1</v>
      </c>
      <c r="FH12" t="s">
        <v>293</v>
      </c>
      <c r="FI12" s="17">
        <v>1</v>
      </c>
      <c r="FK12" t="s">
        <v>386</v>
      </c>
      <c r="FL12">
        <v>350</v>
      </c>
      <c r="FM12" t="s">
        <v>52</v>
      </c>
      <c r="FT12" t="s">
        <v>287</v>
      </c>
      <c r="FU12" s="17">
        <v>1</v>
      </c>
      <c r="FW12" t="s">
        <v>287</v>
      </c>
      <c r="FX12" s="17">
        <v>1</v>
      </c>
      <c r="FZ12" t="s">
        <v>386</v>
      </c>
      <c r="GA12">
        <v>350</v>
      </c>
      <c r="GB12" t="s">
        <v>52</v>
      </c>
      <c r="GF12" t="s">
        <v>277</v>
      </c>
      <c r="GG12">
        <v>1</v>
      </c>
      <c r="GI12" t="s">
        <v>277</v>
      </c>
      <c r="GJ12">
        <v>1</v>
      </c>
      <c r="GL12" t="s">
        <v>277</v>
      </c>
      <c r="GM12">
        <v>1</v>
      </c>
      <c r="GO12" t="s">
        <v>386</v>
      </c>
      <c r="GP12">
        <v>350</v>
      </c>
      <c r="GQ12" t="s">
        <v>52</v>
      </c>
      <c r="GU12" t="s">
        <v>282</v>
      </c>
      <c r="GV12">
        <v>1</v>
      </c>
      <c r="GX12" t="s">
        <v>282</v>
      </c>
      <c r="GY12">
        <v>1</v>
      </c>
      <c r="HA12" t="s">
        <v>282</v>
      </c>
      <c r="HB12">
        <v>1</v>
      </c>
      <c r="HE12" s="1"/>
    </row>
    <row r="13" spans="1:214" ht="13.5" thickTop="1" x14ac:dyDescent="0.2">
      <c r="A13" s="442" t="s">
        <v>413</v>
      </c>
      <c r="B13" s="443"/>
      <c r="C13" s="444"/>
      <c r="D13" t="s">
        <v>95</v>
      </c>
      <c r="E13">
        <f>B46</f>
        <v>20</v>
      </c>
      <c r="F13" t="s">
        <v>78</v>
      </c>
      <c r="G13" t="s">
        <v>454</v>
      </c>
      <c r="H13" s="1">
        <f>H14/((1/H42)*(H50+H51+H52))</f>
        <v>17.096570465960802</v>
      </c>
      <c r="I13" t="s">
        <v>21</v>
      </c>
      <c r="J13" t="s">
        <v>411</v>
      </c>
      <c r="K13" s="1">
        <f>B29</f>
        <v>432</v>
      </c>
      <c r="L13" t="s">
        <v>119</v>
      </c>
      <c r="M13" t="s">
        <v>105</v>
      </c>
      <c r="N13" s="1">
        <f>B3</f>
        <v>0.753</v>
      </c>
      <c r="P13" t="s">
        <v>105</v>
      </c>
      <c r="Q13" s="1">
        <f>B6</f>
        <v>0.74299999999999999</v>
      </c>
      <c r="S13" t="s">
        <v>105</v>
      </c>
      <c r="T13" s="1">
        <f>B10</f>
        <v>0.66200000000000003</v>
      </c>
      <c r="V13" t="s">
        <v>96</v>
      </c>
      <c r="W13">
        <f>B47</f>
        <v>60</v>
      </c>
      <c r="X13" t="s">
        <v>78</v>
      </c>
      <c r="Y13" t="s">
        <v>96</v>
      </c>
      <c r="Z13">
        <f>B47</f>
        <v>60</v>
      </c>
      <c r="AA13" t="s">
        <v>78</v>
      </c>
      <c r="AB13" t="s">
        <v>378</v>
      </c>
      <c r="AF13">
        <v>50</v>
      </c>
      <c r="AG13">
        <v>50</v>
      </c>
      <c r="AH13" t="s">
        <v>379</v>
      </c>
      <c r="AI13" t="s">
        <v>105</v>
      </c>
      <c r="AJ13" s="1">
        <f>B3</f>
        <v>0.753</v>
      </c>
      <c r="AL13" t="s">
        <v>105</v>
      </c>
      <c r="AM13" s="1">
        <f>B6</f>
        <v>0.74299999999999999</v>
      </c>
      <c r="AO13" t="s">
        <v>105</v>
      </c>
      <c r="AP13" s="1">
        <f>B10</f>
        <v>0.66200000000000003</v>
      </c>
      <c r="AR13" t="s">
        <v>105</v>
      </c>
      <c r="AS13" s="1">
        <f>B3</f>
        <v>0.753</v>
      </c>
      <c r="AU13" t="s">
        <v>105</v>
      </c>
      <c r="AV13" s="1">
        <f>B6</f>
        <v>0.74299999999999999</v>
      </c>
      <c r="AX13" t="s">
        <v>105</v>
      </c>
      <c r="AY13" s="1">
        <f>B10</f>
        <v>0.66200000000000003</v>
      </c>
      <c r="BA13" t="s">
        <v>105</v>
      </c>
      <c r="BB13" s="1">
        <f>B3</f>
        <v>0.753</v>
      </c>
      <c r="BD13" t="s">
        <v>105</v>
      </c>
      <c r="BE13" s="1">
        <f>B6</f>
        <v>0.74299999999999999</v>
      </c>
      <c r="BG13" t="s">
        <v>105</v>
      </c>
      <c r="BH13" s="1">
        <f>B10</f>
        <v>0.66200000000000003</v>
      </c>
      <c r="BJ13" t="s">
        <v>463</v>
      </c>
      <c r="BK13" s="1">
        <f>B2</f>
        <v>2.41E-4</v>
      </c>
      <c r="BM13" t="s">
        <v>463</v>
      </c>
      <c r="BN13" s="1">
        <f>B5</f>
        <v>1.17E-4</v>
      </c>
      <c r="BP13" t="s">
        <v>463</v>
      </c>
      <c r="BQ13" s="1">
        <f>B9</f>
        <v>2.2599999999999999E-4</v>
      </c>
      <c r="BS13" t="s">
        <v>95</v>
      </c>
      <c r="BT13">
        <f>B46</f>
        <v>20</v>
      </c>
      <c r="BU13" t="s">
        <v>78</v>
      </c>
      <c r="BV13" t="s">
        <v>81</v>
      </c>
      <c r="BW13" s="426">
        <f>((BW18*BW21*BW23*BW26*BW14*BW33)+(BW19*BW22*BW24*BW27*BW15*BW34))</f>
        <v>147.6</v>
      </c>
      <c r="BX13" t="s">
        <v>180</v>
      </c>
      <c r="BY13" t="s">
        <v>451</v>
      </c>
      <c r="BZ13" s="1">
        <f>(BZ5/(BZ6*BZ16*(1/BZ36)))*BZ10</f>
        <v>61.321268942120085</v>
      </c>
      <c r="CA13" t="s">
        <v>22</v>
      </c>
      <c r="CB13" t="s">
        <v>166</v>
      </c>
      <c r="CC13">
        <v>1</v>
      </c>
      <c r="CD13" t="s">
        <v>117</v>
      </c>
      <c r="CE13" t="s">
        <v>166</v>
      </c>
      <c r="CF13">
        <v>1</v>
      </c>
      <c r="CG13" t="s">
        <v>117</v>
      </c>
      <c r="CH13" t="s">
        <v>166</v>
      </c>
      <c r="CI13">
        <v>1</v>
      </c>
      <c r="CJ13" t="s">
        <v>117</v>
      </c>
      <c r="CN13" t="s">
        <v>307</v>
      </c>
      <c r="CO13" s="17">
        <v>1</v>
      </c>
      <c r="CP13" t="s">
        <v>75</v>
      </c>
      <c r="CT13" t="s">
        <v>411</v>
      </c>
      <c r="CU13" s="1">
        <f>B29</f>
        <v>432</v>
      </c>
      <c r="CV13" t="s">
        <v>119</v>
      </c>
      <c r="CW13" t="s">
        <v>95</v>
      </c>
      <c r="CX13">
        <f>B46</f>
        <v>20</v>
      </c>
      <c r="CY13" t="s">
        <v>78</v>
      </c>
      <c r="CZ13" t="s">
        <v>451</v>
      </c>
      <c r="DA13" s="1">
        <f>DA5/(DA6*DA24)</f>
        <v>1.7221248264959237</v>
      </c>
      <c r="DB13" t="s">
        <v>24</v>
      </c>
      <c r="DC13" t="s">
        <v>472</v>
      </c>
      <c r="DD13" s="1">
        <f>B53</f>
        <v>56.2</v>
      </c>
      <c r="DE13" t="s">
        <v>380</v>
      </c>
      <c r="DF13" t="s">
        <v>110</v>
      </c>
      <c r="DG13">
        <v>240</v>
      </c>
      <c r="DH13" t="s">
        <v>111</v>
      </c>
      <c r="DO13" t="s">
        <v>110</v>
      </c>
      <c r="DP13">
        <v>240</v>
      </c>
      <c r="DQ13" t="s">
        <v>111</v>
      </c>
      <c r="DR13" t="s">
        <v>227</v>
      </c>
      <c r="DS13">
        <v>1</v>
      </c>
      <c r="DT13" t="s">
        <v>119</v>
      </c>
      <c r="DX13" t="s">
        <v>112</v>
      </c>
      <c r="DY13">
        <v>1</v>
      </c>
      <c r="EA13" t="s">
        <v>112</v>
      </c>
      <c r="EB13">
        <v>1</v>
      </c>
      <c r="ED13" t="s">
        <v>112</v>
      </c>
      <c r="EE13">
        <v>1</v>
      </c>
      <c r="EG13" t="s">
        <v>227</v>
      </c>
      <c r="EH13">
        <v>1</v>
      </c>
      <c r="EI13" t="s">
        <v>119</v>
      </c>
      <c r="EM13" t="s">
        <v>113</v>
      </c>
      <c r="EN13">
        <v>1</v>
      </c>
      <c r="EP13" t="s">
        <v>113</v>
      </c>
      <c r="EQ13">
        <v>1</v>
      </c>
      <c r="ES13" t="s">
        <v>113</v>
      </c>
      <c r="ET13">
        <v>1</v>
      </c>
      <c r="EV13" t="s">
        <v>227</v>
      </c>
      <c r="EW13">
        <v>1</v>
      </c>
      <c r="EX13" t="s">
        <v>119</v>
      </c>
      <c r="FB13" t="s">
        <v>294</v>
      </c>
      <c r="FC13" s="17">
        <v>1</v>
      </c>
      <c r="FE13" t="s">
        <v>294</v>
      </c>
      <c r="FF13" s="17">
        <v>1</v>
      </c>
      <c r="FH13" t="s">
        <v>294</v>
      </c>
      <c r="FI13" s="17">
        <v>1</v>
      </c>
      <c r="FK13" t="s">
        <v>227</v>
      </c>
      <c r="FL13">
        <v>1</v>
      </c>
      <c r="FM13" t="s">
        <v>119</v>
      </c>
      <c r="FT13" t="s">
        <v>286</v>
      </c>
      <c r="FU13" s="17">
        <v>1</v>
      </c>
      <c r="FW13" t="s">
        <v>286</v>
      </c>
      <c r="FX13" s="17">
        <v>1</v>
      </c>
      <c r="FZ13" t="s">
        <v>227</v>
      </c>
      <c r="GA13">
        <v>1</v>
      </c>
      <c r="GB13" t="s">
        <v>119</v>
      </c>
      <c r="GF13" t="s">
        <v>278</v>
      </c>
      <c r="GG13">
        <v>1</v>
      </c>
      <c r="GI13" t="s">
        <v>278</v>
      </c>
      <c r="GJ13">
        <v>1</v>
      </c>
      <c r="GL13" t="s">
        <v>278</v>
      </c>
      <c r="GM13">
        <v>1</v>
      </c>
      <c r="GO13" t="s">
        <v>227</v>
      </c>
      <c r="GP13">
        <v>1</v>
      </c>
      <c r="GQ13" t="s">
        <v>119</v>
      </c>
      <c r="GU13" t="s">
        <v>283</v>
      </c>
      <c r="GV13">
        <v>1</v>
      </c>
      <c r="GX13" t="s">
        <v>283</v>
      </c>
      <c r="GY13">
        <v>1</v>
      </c>
      <c r="HA13" t="s">
        <v>283</v>
      </c>
      <c r="HB13">
        <v>1</v>
      </c>
      <c r="HD13" t="s">
        <v>391</v>
      </c>
      <c r="HE13" s="1">
        <v>10</v>
      </c>
    </row>
    <row r="14" spans="1:214" ht="13.9" customHeight="1" x14ac:dyDescent="0.2">
      <c r="A14" s="445"/>
      <c r="B14" s="446"/>
      <c r="C14" s="447"/>
      <c r="D14" t="s">
        <v>106</v>
      </c>
      <c r="E14">
        <v>24</v>
      </c>
      <c r="F14" t="s">
        <v>80</v>
      </c>
      <c r="G14" t="s">
        <v>455</v>
      </c>
      <c r="H14" s="1">
        <f>H5/(H9*(H22+H25)*H43)</f>
        <v>0.21761565225688353</v>
      </c>
      <c r="I14" t="s">
        <v>22</v>
      </c>
      <c r="J14" t="s">
        <v>451</v>
      </c>
      <c r="K14" s="1">
        <f>(K5/(K6*K19*(1/K48)))*K11</f>
        <v>32.029412795660932</v>
      </c>
      <c r="L14" t="s">
        <v>22</v>
      </c>
      <c r="M14" t="s">
        <v>114</v>
      </c>
      <c r="N14">
        <v>7.2999999999999995E-2</v>
      </c>
      <c r="O14" t="s">
        <v>115</v>
      </c>
      <c r="P14" t="s">
        <v>114</v>
      </c>
      <c r="Q14">
        <v>7.2999999999999995E-2</v>
      </c>
      <c r="R14" t="s">
        <v>115</v>
      </c>
      <c r="S14" t="s">
        <v>114</v>
      </c>
      <c r="T14">
        <v>7.2999999999999995E-2</v>
      </c>
      <c r="U14" t="s">
        <v>115</v>
      </c>
      <c r="V14" t="s">
        <v>445</v>
      </c>
      <c r="W14" s="1">
        <f>B26</f>
        <v>7.8700000000000002E-5</v>
      </c>
      <c r="X14" t="s">
        <v>107</v>
      </c>
      <c r="Y14" t="s">
        <v>445</v>
      </c>
      <c r="Z14" s="1">
        <f>B26</f>
        <v>7.8700000000000002E-5</v>
      </c>
      <c r="AA14" t="s">
        <v>107</v>
      </c>
      <c r="AB14" t="s">
        <v>116</v>
      </c>
      <c r="AF14">
        <v>8</v>
      </c>
      <c r="AG14">
        <v>8</v>
      </c>
      <c r="AH14" t="s">
        <v>80</v>
      </c>
      <c r="AI14" t="s">
        <v>114</v>
      </c>
      <c r="AJ14">
        <v>0</v>
      </c>
      <c r="AK14" t="s">
        <v>115</v>
      </c>
      <c r="AL14" t="s">
        <v>114</v>
      </c>
      <c r="AM14">
        <v>0</v>
      </c>
      <c r="AN14" t="s">
        <v>115</v>
      </c>
      <c r="AO14" t="s">
        <v>114</v>
      </c>
      <c r="AP14">
        <v>0</v>
      </c>
      <c r="AQ14" t="s">
        <v>115</v>
      </c>
      <c r="AR14" t="s">
        <v>114</v>
      </c>
      <c r="AS14">
        <f>8/24</f>
        <v>0.33333333333333331</v>
      </c>
      <c r="AT14" t="s">
        <v>115</v>
      </c>
      <c r="AU14" t="s">
        <v>114</v>
      </c>
      <c r="AV14">
        <f>8/24</f>
        <v>0.33333333333333331</v>
      </c>
      <c r="AW14" t="s">
        <v>115</v>
      </c>
      <c r="AX14" t="s">
        <v>116</v>
      </c>
      <c r="AY14">
        <f>8/24</f>
        <v>0.33333333333333331</v>
      </c>
      <c r="AZ14" t="s">
        <v>117</v>
      </c>
      <c r="BA14" t="s">
        <v>114</v>
      </c>
      <c r="BB14">
        <f>8/24</f>
        <v>0.33333333333333331</v>
      </c>
      <c r="BC14" t="s">
        <v>115</v>
      </c>
      <c r="BD14" t="s">
        <v>114</v>
      </c>
      <c r="BE14">
        <f>8/24</f>
        <v>0.33333333333333331</v>
      </c>
      <c r="BF14" t="s">
        <v>115</v>
      </c>
      <c r="BG14" t="s">
        <v>116</v>
      </c>
      <c r="BH14">
        <f>8/24</f>
        <v>0.33333333333333331</v>
      </c>
      <c r="BI14" t="s">
        <v>117</v>
      </c>
      <c r="BJ14" t="s">
        <v>105</v>
      </c>
      <c r="BK14" s="1">
        <f>B3</f>
        <v>0.753</v>
      </c>
      <c r="BM14" t="s">
        <v>105</v>
      </c>
      <c r="BN14" s="1">
        <f>B6</f>
        <v>0.74299999999999999</v>
      </c>
      <c r="BP14" t="s">
        <v>105</v>
      </c>
      <c r="BQ14" s="1">
        <f>B10</f>
        <v>0.66200000000000003</v>
      </c>
      <c r="BS14" t="s">
        <v>399</v>
      </c>
      <c r="BT14">
        <v>1</v>
      </c>
      <c r="BU14" t="s">
        <v>80</v>
      </c>
      <c r="BV14" t="s">
        <v>97</v>
      </c>
      <c r="BW14">
        <f>B50</f>
        <v>0.78</v>
      </c>
      <c r="BX14" t="s">
        <v>89</v>
      </c>
      <c r="BY14" t="s">
        <v>452</v>
      </c>
      <c r="BZ14" s="1">
        <f>(BZ5/(BZ7*BZ17*(1/BZ9)*BZ35))*BZ10</f>
        <v>95510.676784426993</v>
      </c>
      <c r="CA14" t="s">
        <v>22</v>
      </c>
      <c r="CB14" t="s">
        <v>460</v>
      </c>
      <c r="CC14" s="1">
        <f>B21</f>
        <v>3.7100000000000001E-2</v>
      </c>
      <c r="CD14" t="s">
        <v>121</v>
      </c>
      <c r="CE14" t="s">
        <v>460</v>
      </c>
      <c r="CF14" s="1">
        <f>B23</f>
        <v>1.84E-2</v>
      </c>
      <c r="CG14" t="s">
        <v>121</v>
      </c>
      <c r="CH14" t="s">
        <v>460</v>
      </c>
      <c r="CI14" s="1">
        <f>B25</f>
        <v>3.7100000000000001E-2</v>
      </c>
      <c r="CJ14" t="s">
        <v>121</v>
      </c>
      <c r="CT14" t="s">
        <v>451</v>
      </c>
      <c r="CU14" s="1">
        <f>(CU5/(CU6*CU25*(1/CU48)))*CU11</f>
        <v>34.662629619479688</v>
      </c>
      <c r="CV14" t="s">
        <v>22</v>
      </c>
      <c r="CW14" t="s">
        <v>165</v>
      </c>
      <c r="CX14">
        <v>24</v>
      </c>
      <c r="CY14" t="s">
        <v>80</v>
      </c>
      <c r="CZ14" t="s">
        <v>452</v>
      </c>
      <c r="DA14" s="1">
        <f>DA5/(DA7*DA25*DA47)</f>
        <v>1.9927761863245733E-3</v>
      </c>
      <c r="DB14" t="s">
        <v>24</v>
      </c>
      <c r="DC14" t="s">
        <v>247</v>
      </c>
      <c r="DD14">
        <v>350</v>
      </c>
      <c r="DE14" t="s">
        <v>52</v>
      </c>
      <c r="DF14" t="s">
        <v>120</v>
      </c>
      <c r="DG14">
        <v>0.26</v>
      </c>
      <c r="DO14" t="s">
        <v>120</v>
      </c>
      <c r="DP14">
        <v>0.26</v>
      </c>
      <c r="DR14" t="s">
        <v>228</v>
      </c>
      <c r="DS14">
        <v>1</v>
      </c>
      <c r="DT14" t="s">
        <v>119</v>
      </c>
      <c r="ED14" t="s">
        <v>120</v>
      </c>
      <c r="EE14">
        <v>0.25</v>
      </c>
      <c r="EG14" t="s">
        <v>228</v>
      </c>
      <c r="EH14">
        <v>1</v>
      </c>
      <c r="EI14" t="s">
        <v>119</v>
      </c>
      <c r="ES14" t="s">
        <v>120</v>
      </c>
      <c r="ET14">
        <v>0.25</v>
      </c>
      <c r="EV14" t="s">
        <v>228</v>
      </c>
      <c r="EW14">
        <v>1</v>
      </c>
      <c r="EX14" t="s">
        <v>119</v>
      </c>
      <c r="FH14" t="s">
        <v>120</v>
      </c>
      <c r="FI14">
        <v>0.25</v>
      </c>
      <c r="FK14" t="s">
        <v>228</v>
      </c>
      <c r="FL14">
        <v>1</v>
      </c>
      <c r="FM14" t="s">
        <v>119</v>
      </c>
      <c r="FT14" t="s">
        <v>186</v>
      </c>
      <c r="FU14" s="1">
        <f>B34</f>
        <v>30</v>
      </c>
      <c r="FW14" t="s">
        <v>120</v>
      </c>
      <c r="FX14">
        <v>0.25</v>
      </c>
      <c r="FZ14" t="s">
        <v>228</v>
      </c>
      <c r="GA14">
        <v>1</v>
      </c>
      <c r="GB14" t="s">
        <v>119</v>
      </c>
      <c r="GL14" t="s">
        <v>279</v>
      </c>
      <c r="GM14">
        <v>0.25</v>
      </c>
      <c r="GO14" t="s">
        <v>228</v>
      </c>
      <c r="GP14">
        <v>1</v>
      </c>
      <c r="GQ14" t="s">
        <v>119</v>
      </c>
      <c r="HA14" t="s">
        <v>120</v>
      </c>
      <c r="HB14">
        <v>0.25</v>
      </c>
      <c r="HD14" t="s">
        <v>118</v>
      </c>
      <c r="HE14">
        <v>8.1999999999999993</v>
      </c>
    </row>
    <row r="15" spans="1:214" ht="13.5" thickBot="1" x14ac:dyDescent="0.25">
      <c r="A15" s="445"/>
      <c r="B15" s="446"/>
      <c r="C15" s="447"/>
      <c r="E15">
        <v>24</v>
      </c>
      <c r="F15" t="s">
        <v>80</v>
      </c>
      <c r="G15" t="s">
        <v>81</v>
      </c>
      <c r="H15" s="3">
        <f>(H32*H29*H17*H70)+(H33*H30*H18*H71)</f>
        <v>736.07692307692309</v>
      </c>
      <c r="I15" t="s">
        <v>180</v>
      </c>
      <c r="J15" t="s">
        <v>452</v>
      </c>
      <c r="K15" s="1">
        <f>(K5/(K7*K20*(1/K10)*K47))*K11</f>
        <v>1446.0079171555328</v>
      </c>
      <c r="L15" t="s">
        <v>22</v>
      </c>
      <c r="M15" t="s">
        <v>460</v>
      </c>
      <c r="N15" s="1">
        <f>B21</f>
        <v>3.7100000000000001E-2</v>
      </c>
      <c r="O15" t="s">
        <v>121</v>
      </c>
      <c r="P15" t="s">
        <v>460</v>
      </c>
      <c r="Q15" s="1">
        <f>B23</f>
        <v>1.84E-2</v>
      </c>
      <c r="R15" t="s">
        <v>121</v>
      </c>
      <c r="S15" t="s">
        <v>460</v>
      </c>
      <c r="T15" s="1">
        <f>B25</f>
        <v>3.7100000000000001E-2</v>
      </c>
      <c r="U15" t="s">
        <v>121</v>
      </c>
      <c r="V15" t="s">
        <v>464</v>
      </c>
      <c r="W15" s="1">
        <f>B2</f>
        <v>2.41E-4</v>
      </c>
      <c r="Y15" t="s">
        <v>464</v>
      </c>
      <c r="Z15" s="1">
        <f>B2</f>
        <v>2.41E-4</v>
      </c>
      <c r="AB15" t="s">
        <v>124</v>
      </c>
      <c r="AC15">
        <v>1</v>
      </c>
      <c r="AD15">
        <v>1</v>
      </c>
      <c r="AE15">
        <v>1</v>
      </c>
      <c r="AF15">
        <v>1</v>
      </c>
      <c r="AG15">
        <v>1</v>
      </c>
      <c r="AI15" t="s">
        <v>460</v>
      </c>
      <c r="AJ15" s="1">
        <f>B21</f>
        <v>3.7100000000000001E-2</v>
      </c>
      <c r="AK15" t="s">
        <v>121</v>
      </c>
      <c r="AL15" t="s">
        <v>460</v>
      </c>
      <c r="AM15" s="1">
        <f>B23</f>
        <v>1.84E-2</v>
      </c>
      <c r="AN15" t="s">
        <v>121</v>
      </c>
      <c r="AO15" t="s">
        <v>460</v>
      </c>
      <c r="AP15" s="1">
        <f>B25</f>
        <v>3.7100000000000001E-2</v>
      </c>
      <c r="AQ15" t="s">
        <v>121</v>
      </c>
      <c r="AR15" t="s">
        <v>460</v>
      </c>
      <c r="AS15" s="1">
        <f>B21</f>
        <v>3.7100000000000001E-2</v>
      </c>
      <c r="AT15" t="s">
        <v>121</v>
      </c>
      <c r="AU15" t="s">
        <v>460</v>
      </c>
      <c r="AV15" s="1">
        <f>B23</f>
        <v>1.84E-2</v>
      </c>
      <c r="AW15" t="s">
        <v>121</v>
      </c>
      <c r="AX15" t="s">
        <v>460</v>
      </c>
      <c r="AY15" s="1">
        <f>B25</f>
        <v>3.7100000000000001E-2</v>
      </c>
      <c r="AZ15" t="s">
        <v>121</v>
      </c>
      <c r="BA15" t="s">
        <v>460</v>
      </c>
      <c r="BB15" s="1">
        <f>B21</f>
        <v>3.7100000000000001E-2</v>
      </c>
      <c r="BC15" t="s">
        <v>121</v>
      </c>
      <c r="BD15" t="s">
        <v>460</v>
      </c>
      <c r="BE15" s="1">
        <f>B23</f>
        <v>1.84E-2</v>
      </c>
      <c r="BF15" t="s">
        <v>121</v>
      </c>
      <c r="BG15" t="s">
        <v>460</v>
      </c>
      <c r="BH15" s="1">
        <f>B25</f>
        <v>3.7100000000000001E-2</v>
      </c>
      <c r="BI15" t="s">
        <v>121</v>
      </c>
      <c r="BJ15" t="s">
        <v>114</v>
      </c>
      <c r="BK15">
        <f>8/24</f>
        <v>0.33333333333333331</v>
      </c>
      <c r="BL15" t="s">
        <v>115</v>
      </c>
      <c r="BM15" t="s">
        <v>114</v>
      </c>
      <c r="BN15">
        <f>8/24</f>
        <v>0.33333333333333331</v>
      </c>
      <c r="BO15" t="s">
        <v>115</v>
      </c>
      <c r="BP15" t="s">
        <v>116</v>
      </c>
      <c r="BQ15">
        <f>8/24</f>
        <v>0.33333333333333331</v>
      </c>
      <c r="BR15" t="s">
        <v>117</v>
      </c>
      <c r="BS15" t="s">
        <v>398</v>
      </c>
      <c r="BT15">
        <v>1</v>
      </c>
      <c r="BU15" t="s">
        <v>80</v>
      </c>
      <c r="BV15" t="s">
        <v>123</v>
      </c>
      <c r="BW15">
        <f>B51</f>
        <v>2.5</v>
      </c>
      <c r="BX15" t="s">
        <v>89</v>
      </c>
      <c r="BY15" t="s">
        <v>453</v>
      </c>
      <c r="BZ15" s="1">
        <f>((BZ5)/(BZ8*BZ22*(1/BZ34)*BZ25*BZ28*(1/24)*BZ31*BZ32))*BZ10</f>
        <v>17712598.790749215</v>
      </c>
      <c r="CA15" t="s">
        <v>22</v>
      </c>
      <c r="CT15" t="s">
        <v>452</v>
      </c>
      <c r="CU15" s="1">
        <f>(CU5/(CU7*CU26*(1/CU10)*CU47))*CU11</f>
        <v>1398.354119096666</v>
      </c>
      <c r="CV15" t="s">
        <v>22</v>
      </c>
      <c r="CW15" t="s">
        <v>163</v>
      </c>
      <c r="CX15">
        <v>24</v>
      </c>
      <c r="CY15" t="s">
        <v>80</v>
      </c>
      <c r="CZ15" t="s">
        <v>457</v>
      </c>
      <c r="DA15" s="1">
        <f>DA5/(DA8*DA26*(DA48/DA49))</f>
        <v>203137500.43479776</v>
      </c>
      <c r="DB15" t="s">
        <v>24</v>
      </c>
      <c r="DC15" t="s">
        <v>246</v>
      </c>
      <c r="DD15">
        <v>350</v>
      </c>
      <c r="DE15" t="s">
        <v>52</v>
      </c>
      <c r="DF15" t="s">
        <v>125</v>
      </c>
      <c r="DG15">
        <v>0.42</v>
      </c>
      <c r="DH15" t="s">
        <v>75</v>
      </c>
      <c r="DO15" t="s">
        <v>125</v>
      </c>
      <c r="DP15">
        <v>0.42</v>
      </c>
      <c r="DQ15" t="s">
        <v>75</v>
      </c>
      <c r="DR15" t="s">
        <v>229</v>
      </c>
      <c r="DS15">
        <v>1</v>
      </c>
      <c r="DT15" t="s">
        <v>119</v>
      </c>
      <c r="ED15" t="s">
        <v>55</v>
      </c>
      <c r="EE15">
        <v>92</v>
      </c>
      <c r="EF15" t="s">
        <v>56</v>
      </c>
      <c r="EG15" t="s">
        <v>229</v>
      </c>
      <c r="EH15">
        <v>1</v>
      </c>
      <c r="EI15" t="s">
        <v>119</v>
      </c>
      <c r="ES15" t="s">
        <v>57</v>
      </c>
      <c r="ET15">
        <v>53</v>
      </c>
      <c r="EU15" t="s">
        <v>56</v>
      </c>
      <c r="EV15" t="s">
        <v>229</v>
      </c>
      <c r="EW15">
        <v>1</v>
      </c>
      <c r="EX15" t="s">
        <v>119</v>
      </c>
      <c r="FH15" t="s">
        <v>271</v>
      </c>
      <c r="FI15">
        <v>0.4</v>
      </c>
      <c r="FJ15" t="s">
        <v>56</v>
      </c>
      <c r="FK15" t="s">
        <v>229</v>
      </c>
      <c r="FL15">
        <v>1</v>
      </c>
      <c r="FM15" t="s">
        <v>119</v>
      </c>
      <c r="FT15" t="s">
        <v>296</v>
      </c>
      <c r="FU15" s="1">
        <v>8.1999999999999993</v>
      </c>
      <c r="FW15" t="s">
        <v>274</v>
      </c>
      <c r="FX15" s="17">
        <v>1</v>
      </c>
      <c r="FY15" t="s">
        <v>56</v>
      </c>
      <c r="FZ15" t="s">
        <v>229</v>
      </c>
      <c r="GA15">
        <v>1</v>
      </c>
      <c r="GB15" t="s">
        <v>119</v>
      </c>
      <c r="GL15" t="s">
        <v>272</v>
      </c>
      <c r="GM15">
        <v>0.4</v>
      </c>
      <c r="GN15" t="s">
        <v>56</v>
      </c>
      <c r="GO15" t="s">
        <v>229</v>
      </c>
      <c r="GP15">
        <v>1</v>
      </c>
      <c r="GQ15" t="s">
        <v>119</v>
      </c>
      <c r="HA15" t="s">
        <v>273</v>
      </c>
      <c r="HB15">
        <v>11.4</v>
      </c>
      <c r="HC15" t="s">
        <v>56</v>
      </c>
    </row>
    <row r="16" spans="1:214" ht="14.25" thickTop="1" thickBot="1" x14ac:dyDescent="0.25">
      <c r="A16" s="448"/>
      <c r="B16" s="449"/>
      <c r="C16" s="450"/>
      <c r="D16" t="s">
        <v>122</v>
      </c>
      <c r="E16">
        <v>1</v>
      </c>
      <c r="F16" t="s">
        <v>59</v>
      </c>
      <c r="G16" t="s">
        <v>77</v>
      </c>
      <c r="H16" s="426">
        <f>(H29*H19*H32*H70)+(H30*H20*H33*H71)</f>
        <v>6192.3076923076924</v>
      </c>
      <c r="I16" t="s">
        <v>407</v>
      </c>
      <c r="J16" t="s">
        <v>453</v>
      </c>
      <c r="K16" s="1">
        <f>(K5/(K8*K44*((K39*K43*(1/K37))+(K40*K42*(1/K37)))*K32*(1/K46)*K33))*K11</f>
        <v>139.29556437845201</v>
      </c>
      <c r="L16" t="s">
        <v>22</v>
      </c>
      <c r="M16" t="s">
        <v>136</v>
      </c>
      <c r="N16">
        <v>0.68300000000000005</v>
      </c>
      <c r="O16" t="s">
        <v>115</v>
      </c>
      <c r="P16" t="s">
        <v>136</v>
      </c>
      <c r="Q16">
        <v>0.68300000000000005</v>
      </c>
      <c r="R16" t="s">
        <v>115</v>
      </c>
      <c r="S16" t="s">
        <v>136</v>
      </c>
      <c r="T16">
        <v>0.68300000000000005</v>
      </c>
      <c r="U16" t="s">
        <v>115</v>
      </c>
      <c r="V16" t="s">
        <v>452</v>
      </c>
      <c r="W16" s="1">
        <f>(W5)/((W11/W12)*W8*W9*W10*W13)</f>
        <v>1.4336917562724014E-3</v>
      </c>
      <c r="X16" t="s">
        <v>36</v>
      </c>
      <c r="Y16" t="s">
        <v>452</v>
      </c>
      <c r="Z16" s="1">
        <f>(Z5)/((Z11/Z12)*Z8*Z9*Z10*Z13)</f>
        <v>1.2903225806451613E-3</v>
      </c>
      <c r="AA16" t="s">
        <v>36</v>
      </c>
      <c r="AB16" t="s">
        <v>128</v>
      </c>
      <c r="AC16">
        <v>100</v>
      </c>
      <c r="AD16">
        <v>50</v>
      </c>
      <c r="AE16">
        <v>100</v>
      </c>
      <c r="AF16">
        <v>330</v>
      </c>
      <c r="AG16">
        <v>330</v>
      </c>
      <c r="AI16" t="s">
        <v>136</v>
      </c>
      <c r="AJ16">
        <f>8/24</f>
        <v>0.33333333333333331</v>
      </c>
      <c r="AK16" t="s">
        <v>115</v>
      </c>
      <c r="AL16" t="s">
        <v>136</v>
      </c>
      <c r="AM16">
        <f>8/24</f>
        <v>0.33333333333333331</v>
      </c>
      <c r="AN16" t="s">
        <v>115</v>
      </c>
      <c r="AO16" t="s">
        <v>136</v>
      </c>
      <c r="AP16">
        <f>8/24</f>
        <v>0.33333333333333331</v>
      </c>
      <c r="AQ16" t="s">
        <v>115</v>
      </c>
      <c r="AR16" t="s">
        <v>136</v>
      </c>
      <c r="AS16">
        <v>0</v>
      </c>
      <c r="AT16" t="s">
        <v>115</v>
      </c>
      <c r="AU16" t="s">
        <v>136</v>
      </c>
      <c r="AV16">
        <v>0</v>
      </c>
      <c r="AW16" t="s">
        <v>115</v>
      </c>
      <c r="AX16" t="s">
        <v>136</v>
      </c>
      <c r="AY16">
        <v>0</v>
      </c>
      <c r="AZ16" t="s">
        <v>115</v>
      </c>
      <c r="BA16" t="s">
        <v>136</v>
      </c>
      <c r="BB16">
        <v>0</v>
      </c>
      <c r="BC16" t="s">
        <v>115</v>
      </c>
      <c r="BD16" t="s">
        <v>136</v>
      </c>
      <c r="BE16">
        <v>0</v>
      </c>
      <c r="BF16" t="s">
        <v>115</v>
      </c>
      <c r="BG16" t="s">
        <v>136</v>
      </c>
      <c r="BH16">
        <v>0</v>
      </c>
      <c r="BI16" t="s">
        <v>115</v>
      </c>
      <c r="BJ16" t="s">
        <v>460</v>
      </c>
      <c r="BK16" s="1">
        <f>B21</f>
        <v>3.7100000000000001E-2</v>
      </c>
      <c r="BL16" t="s">
        <v>121</v>
      </c>
      <c r="BM16" t="s">
        <v>460</v>
      </c>
      <c r="BN16" s="1">
        <f>B23</f>
        <v>1.84E-2</v>
      </c>
      <c r="BO16" t="s">
        <v>121</v>
      </c>
      <c r="BP16" t="s">
        <v>460</v>
      </c>
      <c r="BQ16" s="1">
        <f>B25</f>
        <v>3.7100000000000001E-2</v>
      </c>
      <c r="BR16" t="s">
        <v>121</v>
      </c>
      <c r="BS16" t="s">
        <v>166</v>
      </c>
      <c r="BT16">
        <v>1</v>
      </c>
      <c r="BU16" t="s">
        <v>80</v>
      </c>
      <c r="BV16" t="s">
        <v>240</v>
      </c>
      <c r="BW16" s="427">
        <f>((BW18*BW21*BW23*BW26*BW33)+(BW19*BW22*BW24*BW27*BW34))</f>
        <v>90</v>
      </c>
      <c r="BX16" t="s">
        <v>408</v>
      </c>
      <c r="BY16" t="s">
        <v>82</v>
      </c>
      <c r="BZ16" s="427">
        <f>(BZ18*BZ22*BZ27*BZ37)+(BZ19*BZ23*BZ26*BZ38)</f>
        <v>22500</v>
      </c>
      <c r="CA16" t="s">
        <v>406</v>
      </c>
      <c r="CB16" s="403" t="s">
        <v>8</v>
      </c>
      <c r="CC16" s="76" t="s">
        <v>394</v>
      </c>
      <c r="CD16" s="77" t="s">
        <v>0</v>
      </c>
      <c r="CE16" s="230" t="s">
        <v>8</v>
      </c>
      <c r="CF16" s="76" t="s">
        <v>183</v>
      </c>
      <c r="CG16" s="77" t="s">
        <v>0</v>
      </c>
      <c r="CK16" s="394" t="s">
        <v>8</v>
      </c>
      <c r="CL16" s="395" t="s">
        <v>302</v>
      </c>
      <c r="CM16" s="396" t="s">
        <v>0</v>
      </c>
      <c r="CN16" s="76" t="s">
        <v>8</v>
      </c>
      <c r="CO16" s="76" t="s">
        <v>302</v>
      </c>
      <c r="CP16" s="77" t="s">
        <v>0</v>
      </c>
      <c r="CQ16" s="230" t="s">
        <v>8</v>
      </c>
      <c r="CR16" s="76" t="s">
        <v>302</v>
      </c>
      <c r="CS16" s="77" t="s">
        <v>0</v>
      </c>
      <c r="CT16" t="s">
        <v>453</v>
      </c>
      <c r="CU16" s="1">
        <f>(CU5/(CU8*CU44*((CU39*CU43*(1/CU37))+(CU40*CU42*(1/CU37)))*CU32*(1/CU46)*CU33))*CU11</f>
        <v>230.88779657765417</v>
      </c>
      <c r="CV16" t="s">
        <v>22</v>
      </c>
      <c r="CW16" t="s">
        <v>122</v>
      </c>
      <c r="CX16">
        <v>1</v>
      </c>
      <c r="CY16" t="s">
        <v>59</v>
      </c>
      <c r="CZ16" t="s">
        <v>476</v>
      </c>
      <c r="DA16" s="1">
        <f>DG3</f>
        <v>4.0030697946591474</v>
      </c>
      <c r="DB16" t="s">
        <v>24</v>
      </c>
      <c r="DC16" t="s">
        <v>227</v>
      </c>
      <c r="DD16">
        <v>1</v>
      </c>
      <c r="DE16" t="s">
        <v>119</v>
      </c>
      <c r="DF16" t="s">
        <v>129</v>
      </c>
      <c r="DG16">
        <f>DG20+(0.693/DG22)</f>
        <v>4.9504394977168943E-2</v>
      </c>
      <c r="DH16" t="s">
        <v>130</v>
      </c>
      <c r="DO16" t="s">
        <v>129</v>
      </c>
      <c r="DP16">
        <f>DP20+(0.693/DP22)</f>
        <v>4.9499999999999995E-2</v>
      </c>
      <c r="DQ16" t="s">
        <v>130</v>
      </c>
      <c r="DS16">
        <v>1000</v>
      </c>
      <c r="DT16" t="s">
        <v>179</v>
      </c>
      <c r="ED16" t="s">
        <v>129</v>
      </c>
      <c r="EE16">
        <f>EE20+(0.693/EE22)</f>
        <v>4.9499999999999995E-2</v>
      </c>
      <c r="EF16" t="s">
        <v>130</v>
      </c>
      <c r="EH16">
        <v>1000</v>
      </c>
      <c r="EI16" t="s">
        <v>179</v>
      </c>
      <c r="ES16" t="s">
        <v>129</v>
      </c>
      <c r="ET16">
        <f>ET20+(0.693/ET22)</f>
        <v>4.9499999999999995E-2</v>
      </c>
      <c r="EU16" t="s">
        <v>130</v>
      </c>
      <c r="EW16" s="15">
        <v>1000</v>
      </c>
      <c r="EX16" t="s">
        <v>179</v>
      </c>
      <c r="FH16" t="s">
        <v>129</v>
      </c>
      <c r="FI16">
        <v>4.9499999999999995E-2</v>
      </c>
      <c r="FJ16" t="s">
        <v>130</v>
      </c>
      <c r="FL16">
        <v>1000</v>
      </c>
      <c r="FM16" t="s">
        <v>179</v>
      </c>
      <c r="FW16" t="s">
        <v>129</v>
      </c>
      <c r="FX16">
        <f>FX20+(0.693/FX22)</f>
        <v>4.9499999999999995E-2</v>
      </c>
      <c r="FY16" t="s">
        <v>130</v>
      </c>
      <c r="GA16">
        <v>1000</v>
      </c>
      <c r="GB16" t="s">
        <v>179</v>
      </c>
      <c r="GL16" t="s">
        <v>129</v>
      </c>
      <c r="GM16">
        <f>GM20+(0.693/GM22)</f>
        <v>4.9499999999999995E-2</v>
      </c>
      <c r="GN16" t="s">
        <v>130</v>
      </c>
      <c r="GO16" t="s">
        <v>270</v>
      </c>
      <c r="GP16">
        <v>1</v>
      </c>
      <c r="HA16" t="s">
        <v>129</v>
      </c>
      <c r="HB16">
        <f>HB20+(0.693/HB22)</f>
        <v>4.9499999999999995E-2</v>
      </c>
      <c r="HC16" t="s">
        <v>130</v>
      </c>
    </row>
    <row r="17" spans="1:214" ht="14.25" thickTop="1" thickBot="1" x14ac:dyDescent="0.25">
      <c r="A17" t="s">
        <v>436</v>
      </c>
      <c r="B17" s="410">
        <v>0.155</v>
      </c>
      <c r="C17" t="s">
        <v>448</v>
      </c>
      <c r="D17" t="s">
        <v>126</v>
      </c>
      <c r="E17">
        <v>1</v>
      </c>
      <c r="F17" t="s">
        <v>59</v>
      </c>
      <c r="G17" t="s">
        <v>97</v>
      </c>
      <c r="H17">
        <f>B50</f>
        <v>0.78</v>
      </c>
      <c r="J17" t="s">
        <v>454</v>
      </c>
      <c r="K17" s="1">
        <f>K18/(K49+K50)</f>
        <v>0.83682235053598741</v>
      </c>
      <c r="L17" t="s">
        <v>22</v>
      </c>
      <c r="V17" t="s">
        <v>477</v>
      </c>
      <c r="W17" s="1">
        <f>(W5)/((W11/W12)*W8*W9*W14*(1/365))</f>
        <v>61838.204150783575</v>
      </c>
      <c r="X17" t="s">
        <v>36</v>
      </c>
      <c r="Y17" t="s">
        <v>477</v>
      </c>
      <c r="Z17" s="1">
        <f>(Z5)/((Z11/Z12)*Z8*Z9*Z14*(1/365))</f>
        <v>55654.383735705211</v>
      </c>
      <c r="AA17" t="s">
        <v>36</v>
      </c>
      <c r="BS17" t="s">
        <v>122</v>
      </c>
      <c r="BT17">
        <v>1</v>
      </c>
      <c r="BU17" t="s">
        <v>59</v>
      </c>
      <c r="BV17" t="s">
        <v>131</v>
      </c>
      <c r="BW17">
        <v>0.5</v>
      </c>
      <c r="BX17" t="s">
        <v>132</v>
      </c>
      <c r="BY17" t="s">
        <v>77</v>
      </c>
      <c r="BZ17" s="427">
        <f>(BZ27*BZ24*BZ20*(BZ29/24)*BZ37)+(BZ26*BZ23*BZ21*(BZ30/24)*BZ38)</f>
        <v>93.75</v>
      </c>
      <c r="CA17" t="s">
        <v>407</v>
      </c>
      <c r="CB17" s="404" t="s">
        <v>32</v>
      </c>
      <c r="CC17" s="78" t="s">
        <v>13</v>
      </c>
      <c r="CD17" s="79" t="s">
        <v>22</v>
      </c>
      <c r="CE17" s="231" t="s">
        <v>32</v>
      </c>
      <c r="CF17" s="78" t="s">
        <v>13</v>
      </c>
      <c r="CG17" s="79" t="s">
        <v>22</v>
      </c>
      <c r="CK17" s="397" t="s">
        <v>303</v>
      </c>
      <c r="CL17" s="78"/>
      <c r="CM17" s="398" t="s">
        <v>22</v>
      </c>
      <c r="CN17" s="78" t="s">
        <v>11</v>
      </c>
      <c r="CO17" s="78"/>
      <c r="CP17" s="79" t="s">
        <v>22</v>
      </c>
      <c r="CQ17" s="231" t="s">
        <v>10</v>
      </c>
      <c r="CR17" s="78"/>
      <c r="CS17" s="79" t="s">
        <v>22</v>
      </c>
      <c r="CT17" t="s">
        <v>454</v>
      </c>
      <c r="CU17" s="1">
        <f>DJ3</f>
        <v>0.19593744146499051</v>
      </c>
      <c r="CV17" t="s">
        <v>22</v>
      </c>
      <c r="CW17" t="s">
        <v>126</v>
      </c>
      <c r="CX17">
        <v>1</v>
      </c>
      <c r="CY17" t="s">
        <v>59</v>
      </c>
      <c r="CZ17" t="s">
        <v>478</v>
      </c>
      <c r="DA17" s="1">
        <f>DD3</f>
        <v>5.0953531652970785E-2</v>
      </c>
      <c r="DB17" t="s">
        <v>22</v>
      </c>
      <c r="DC17" t="s">
        <v>228</v>
      </c>
      <c r="DD17">
        <v>1</v>
      </c>
      <c r="DE17" t="s">
        <v>119</v>
      </c>
      <c r="DF17" t="s">
        <v>133</v>
      </c>
      <c r="DG17">
        <v>60</v>
      </c>
      <c r="DH17" t="s">
        <v>102</v>
      </c>
      <c r="DO17" t="s">
        <v>133</v>
      </c>
      <c r="DP17">
        <v>60</v>
      </c>
      <c r="DQ17" t="s">
        <v>102</v>
      </c>
      <c r="DR17" t="s">
        <v>256</v>
      </c>
      <c r="DS17">
        <v>1</v>
      </c>
      <c r="ED17" t="s">
        <v>133</v>
      </c>
      <c r="EE17">
        <v>60</v>
      </c>
      <c r="EF17" t="s">
        <v>102</v>
      </c>
      <c r="EG17" t="s">
        <v>259</v>
      </c>
      <c r="EH17">
        <v>1</v>
      </c>
      <c r="ES17" t="s">
        <v>133</v>
      </c>
      <c r="ET17">
        <v>60</v>
      </c>
      <c r="EU17" t="s">
        <v>102</v>
      </c>
      <c r="EV17" t="s">
        <v>264</v>
      </c>
      <c r="EW17">
        <v>1</v>
      </c>
      <c r="FH17" t="s">
        <v>133</v>
      </c>
      <c r="FI17">
        <v>60</v>
      </c>
      <c r="FJ17" t="s">
        <v>102</v>
      </c>
      <c r="FK17" t="s">
        <v>265</v>
      </c>
      <c r="FL17">
        <v>1</v>
      </c>
      <c r="FW17" t="s">
        <v>133</v>
      </c>
      <c r="FX17">
        <v>60</v>
      </c>
      <c r="FY17" t="s">
        <v>102</v>
      </c>
      <c r="FZ17" t="s">
        <v>139</v>
      </c>
      <c r="GA17">
        <v>1</v>
      </c>
      <c r="GL17" t="s">
        <v>133</v>
      </c>
      <c r="GM17">
        <v>60</v>
      </c>
      <c r="GN17" t="s">
        <v>102</v>
      </c>
      <c r="GP17">
        <v>365</v>
      </c>
      <c r="GQ17" t="s">
        <v>52</v>
      </c>
      <c r="HA17" t="s">
        <v>133</v>
      </c>
      <c r="HB17">
        <v>60</v>
      </c>
      <c r="HC17" t="s">
        <v>102</v>
      </c>
    </row>
    <row r="18" spans="1:214" ht="13.5" thickTop="1" x14ac:dyDescent="0.2">
      <c r="A18" t="s">
        <v>437</v>
      </c>
      <c r="B18" s="410">
        <v>7.3999999999999999E-4</v>
      </c>
      <c r="C18" t="s">
        <v>448</v>
      </c>
      <c r="D18" t="s">
        <v>445</v>
      </c>
      <c r="E18" s="1">
        <f>B26</f>
        <v>7.8700000000000002E-5</v>
      </c>
      <c r="F18" t="s">
        <v>107</v>
      </c>
      <c r="G18" t="s">
        <v>123</v>
      </c>
      <c r="H18">
        <f>B51</f>
        <v>2.5</v>
      </c>
      <c r="J18" t="s">
        <v>455</v>
      </c>
      <c r="K18" s="1">
        <f>K5/(K9*(K25+K28)*K38)</f>
        <v>0.21761565225688353</v>
      </c>
      <c r="L18" t="s">
        <v>22</v>
      </c>
      <c r="M18" s="117" t="s">
        <v>13</v>
      </c>
      <c r="N18" s="118" t="s">
        <v>142</v>
      </c>
      <c r="O18" s="118" t="s">
        <v>0</v>
      </c>
      <c r="P18" s="252" t="s">
        <v>13</v>
      </c>
      <c r="Q18" s="118" t="s">
        <v>183</v>
      </c>
      <c r="R18" s="119" t="s">
        <v>0</v>
      </c>
      <c r="V18" t="s">
        <v>452</v>
      </c>
      <c r="W18" s="1">
        <f>(W5*W6*W9)/((W11/W12)*(1-EXP(-W6*W9))*W10*W13*W8*W9)</f>
        <v>1.4348420039844937E-3</v>
      </c>
      <c r="X18" t="s">
        <v>37</v>
      </c>
      <c r="Y18" t="s">
        <v>452</v>
      </c>
      <c r="Z18" s="1">
        <f>(Z5*Z6*Z9)/((Z11/Z12)*(1-EXP(-Z6*Z9))*Z10*Z13*Z8*Z9)</f>
        <v>1.2913578035860444E-3</v>
      </c>
      <c r="AA18" t="s">
        <v>37</v>
      </c>
      <c r="AI18" s="133" t="s">
        <v>13</v>
      </c>
      <c r="AJ18" s="134" t="s">
        <v>142</v>
      </c>
      <c r="AK18" s="134" t="s">
        <v>0</v>
      </c>
      <c r="AL18" s="233" t="s">
        <v>13</v>
      </c>
      <c r="AM18" s="134" t="s">
        <v>183</v>
      </c>
      <c r="AN18" s="135" t="s">
        <v>0</v>
      </c>
      <c r="AR18" s="141" t="s">
        <v>13</v>
      </c>
      <c r="AS18" s="142" t="s">
        <v>142</v>
      </c>
      <c r="AT18" s="142" t="s">
        <v>0</v>
      </c>
      <c r="AU18" s="236" t="s">
        <v>13</v>
      </c>
      <c r="AV18" s="142" t="s">
        <v>183</v>
      </c>
      <c r="AW18" s="143" t="s">
        <v>0</v>
      </c>
      <c r="BA18" s="141" t="s">
        <v>13</v>
      </c>
      <c r="BB18" s="142" t="s">
        <v>142</v>
      </c>
      <c r="BC18" s="142" t="s">
        <v>0</v>
      </c>
      <c r="BD18" s="236" t="s">
        <v>13</v>
      </c>
      <c r="BE18" s="142" t="s">
        <v>183</v>
      </c>
      <c r="BF18" s="143" t="s">
        <v>0</v>
      </c>
      <c r="BJ18" s="141" t="s">
        <v>13</v>
      </c>
      <c r="BK18" s="142" t="s">
        <v>142</v>
      </c>
      <c r="BL18" s="142" t="s">
        <v>0</v>
      </c>
      <c r="BM18" s="236" t="s">
        <v>13</v>
      </c>
      <c r="BN18" s="142" t="s">
        <v>183</v>
      </c>
      <c r="BO18" s="143" t="s">
        <v>0</v>
      </c>
      <c r="BS18" t="s">
        <v>126</v>
      </c>
      <c r="BT18">
        <v>1</v>
      </c>
      <c r="BU18" t="s">
        <v>59</v>
      </c>
      <c r="BV18" t="s">
        <v>403</v>
      </c>
      <c r="BW18">
        <v>45</v>
      </c>
      <c r="BX18" t="s">
        <v>52</v>
      </c>
      <c r="BY18" t="s">
        <v>108</v>
      </c>
      <c r="BZ18">
        <f>B48</f>
        <v>200</v>
      </c>
      <c r="CA18" t="s">
        <v>90</v>
      </c>
      <c r="CB18" s="404" t="s">
        <v>475</v>
      </c>
      <c r="CC18" s="80">
        <f>(CC20*CC21*CC22)/((1-EXP(-CC22*CC21))*CC25*CC29*(CC24/365)*CC27*(CC28/24)*CC26)</f>
        <v>345184380.55067009</v>
      </c>
      <c r="CD18" s="79"/>
      <c r="CE18" s="231" t="s">
        <v>475</v>
      </c>
      <c r="CF18" s="80">
        <f>(CF20*CF21*CF22)/((1-EXP(-CF22*CF21))*CF25*CF29*(CF24/365)*CF27*(CF28/24)*CF26)</f>
        <v>36011876.293206967</v>
      </c>
      <c r="CG18" s="79"/>
      <c r="CK18" s="397" t="s">
        <v>456</v>
      </c>
      <c r="CL18" s="80">
        <f>CL20/(CL21*CL22*CL23*CL24)</f>
        <v>18.018018018018019</v>
      </c>
      <c r="CM18" s="398"/>
      <c r="CN18" s="78" t="s">
        <v>456</v>
      </c>
      <c r="CO18" s="80">
        <f>CL18/(CO20*((CO25*CO27*CO28*(CO21+CO22))+(CO26*CO27)))</f>
        <v>84452.861579648554</v>
      </c>
      <c r="CP18" s="79"/>
      <c r="CQ18" s="231" t="s">
        <v>456</v>
      </c>
      <c r="CR18" s="80">
        <f>CL18/(CR20*CR21*(1/CR22))</f>
        <v>105988341.28245893</v>
      </c>
      <c r="CS18" s="79"/>
      <c r="CT18" t="s">
        <v>455</v>
      </c>
      <c r="CU18" s="1">
        <f>DD3</f>
        <v>5.0953531652970785E-2</v>
      </c>
      <c r="CV18" t="s">
        <v>22</v>
      </c>
      <c r="CW18" t="s">
        <v>445</v>
      </c>
      <c r="CX18" s="1">
        <f>B26</f>
        <v>7.8700000000000002E-5</v>
      </c>
      <c r="CY18" t="s">
        <v>107</v>
      </c>
      <c r="CZ18" t="s">
        <v>479</v>
      </c>
      <c r="DA18" s="1">
        <f>EZ3</f>
        <v>67701.114972444702</v>
      </c>
      <c r="DC18" t="s">
        <v>229</v>
      </c>
      <c r="DD18">
        <v>1</v>
      </c>
      <c r="DE18" t="s">
        <v>119</v>
      </c>
      <c r="DF18" t="s">
        <v>135</v>
      </c>
      <c r="DG18">
        <v>2</v>
      </c>
      <c r="DH18" t="s">
        <v>111</v>
      </c>
      <c r="DO18" t="s">
        <v>135</v>
      </c>
      <c r="DP18">
        <v>2</v>
      </c>
      <c r="DQ18" t="s">
        <v>111</v>
      </c>
      <c r="DS18">
        <v>365</v>
      </c>
      <c r="DT18" t="s">
        <v>52</v>
      </c>
      <c r="ED18" t="s">
        <v>135</v>
      </c>
      <c r="EE18">
        <v>2</v>
      </c>
      <c r="EF18" t="s">
        <v>111</v>
      </c>
      <c r="EH18">
        <v>365</v>
      </c>
      <c r="EI18" t="s">
        <v>245</v>
      </c>
      <c r="ES18" t="s">
        <v>135</v>
      </c>
      <c r="ET18">
        <v>2</v>
      </c>
      <c r="EU18" t="s">
        <v>111</v>
      </c>
      <c r="EW18">
        <v>365</v>
      </c>
      <c r="EX18" t="s">
        <v>52</v>
      </c>
      <c r="FH18" t="s">
        <v>135</v>
      </c>
      <c r="FI18">
        <v>2</v>
      </c>
      <c r="FJ18" t="s">
        <v>111</v>
      </c>
      <c r="FL18">
        <v>365</v>
      </c>
      <c r="FM18" t="s">
        <v>52</v>
      </c>
      <c r="FW18" t="s">
        <v>135</v>
      </c>
      <c r="FX18">
        <v>2</v>
      </c>
      <c r="FY18" t="s">
        <v>111</v>
      </c>
      <c r="GA18">
        <v>365</v>
      </c>
      <c r="GB18" t="s">
        <v>52</v>
      </c>
      <c r="GL18" t="s">
        <v>135</v>
      </c>
      <c r="GM18">
        <v>2</v>
      </c>
      <c r="GN18" t="s">
        <v>111</v>
      </c>
      <c r="GO18" t="s">
        <v>433</v>
      </c>
      <c r="GP18" s="1">
        <f>B61</f>
        <v>0.15</v>
      </c>
      <c r="HA18" t="s">
        <v>135</v>
      </c>
      <c r="HB18">
        <v>2</v>
      </c>
      <c r="HC18" t="s">
        <v>111</v>
      </c>
    </row>
    <row r="19" spans="1:214" ht="13.5" thickBot="1" x14ac:dyDescent="0.25">
      <c r="A19" t="s">
        <v>438</v>
      </c>
      <c r="B19" s="410">
        <v>7.3999999999999999E-4</v>
      </c>
      <c r="C19" t="s">
        <v>448</v>
      </c>
      <c r="D19" t="s">
        <v>464</v>
      </c>
      <c r="E19" s="1">
        <f>B2</f>
        <v>2.41E-4</v>
      </c>
      <c r="G19" t="s">
        <v>223</v>
      </c>
      <c r="H19">
        <f>B45</f>
        <v>10</v>
      </c>
      <c r="J19" t="s">
        <v>82</v>
      </c>
      <c r="K19" s="428">
        <f>K21*K31*K35*K53+K22*K32*K34*K54</f>
        <v>43076.923076923078</v>
      </c>
      <c r="L19" t="s">
        <v>406</v>
      </c>
      <c r="M19" s="120" t="s">
        <v>32</v>
      </c>
      <c r="N19" s="121" t="s">
        <v>33</v>
      </c>
      <c r="O19" s="131" t="s">
        <v>146</v>
      </c>
      <c r="P19" s="253" t="s">
        <v>32</v>
      </c>
      <c r="Q19" s="121" t="s">
        <v>33</v>
      </c>
      <c r="R19" s="122" t="s">
        <v>22</v>
      </c>
      <c r="V19" t="s">
        <v>477</v>
      </c>
      <c r="W19" s="1">
        <f>(W5*W6*W9)/((W11/W12)*(1-EXP(-W6*W9))*W14*W8*W9*(1/365))</f>
        <v>61887.816804642491</v>
      </c>
      <c r="X19" t="s">
        <v>37</v>
      </c>
      <c r="Y19" t="s">
        <v>477</v>
      </c>
      <c r="Z19" s="1">
        <f>(Z5*Z6*Z9)/((Z11/Z12)*(1-EXP(-Z6*Z9))*Z14*Z8*Z9*(1/365))</f>
        <v>55699.035124178248</v>
      </c>
      <c r="AA19" t="s">
        <v>37</v>
      </c>
      <c r="AB19" t="s">
        <v>463</v>
      </c>
      <c r="AC19" s="1">
        <f>B2</f>
        <v>2.41E-4</v>
      </c>
      <c r="AD19" s="1">
        <f>B2</f>
        <v>2.41E-4</v>
      </c>
      <c r="AE19" s="1">
        <f>B2</f>
        <v>2.41E-4</v>
      </c>
      <c r="AF19" s="1">
        <f>B2</f>
        <v>2.41E-4</v>
      </c>
      <c r="AG19" s="1">
        <f>B2</f>
        <v>2.41E-4</v>
      </c>
      <c r="AI19" s="136" t="s">
        <v>5</v>
      </c>
      <c r="AJ19" s="84" t="s">
        <v>34</v>
      </c>
      <c r="AK19" s="151" t="s">
        <v>146</v>
      </c>
      <c r="AL19" s="234" t="s">
        <v>5</v>
      </c>
      <c r="AM19" s="84" t="s">
        <v>34</v>
      </c>
      <c r="AN19" s="137" t="s">
        <v>22</v>
      </c>
      <c r="AR19" s="144" t="s">
        <v>2</v>
      </c>
      <c r="AS19" s="86" t="s">
        <v>34</v>
      </c>
      <c r="AT19" s="152" t="s">
        <v>146</v>
      </c>
      <c r="AU19" s="237" t="s">
        <v>2</v>
      </c>
      <c r="AV19" s="86" t="s">
        <v>34</v>
      </c>
      <c r="AW19" s="145" t="s">
        <v>22</v>
      </c>
      <c r="BA19" s="144" t="s">
        <v>4</v>
      </c>
      <c r="BB19" s="86" t="s">
        <v>34</v>
      </c>
      <c r="BC19" s="152" t="s">
        <v>146</v>
      </c>
      <c r="BD19" s="237" t="s">
        <v>4</v>
      </c>
      <c r="BE19" s="86" t="s">
        <v>34</v>
      </c>
      <c r="BF19" s="145" t="s">
        <v>22</v>
      </c>
      <c r="BJ19" s="144" t="s">
        <v>222</v>
      </c>
      <c r="BK19" s="86" t="s">
        <v>34</v>
      </c>
      <c r="BL19" s="152" t="s">
        <v>146</v>
      </c>
      <c r="BM19" s="237" t="s">
        <v>222</v>
      </c>
      <c r="BN19" s="86" t="s">
        <v>34</v>
      </c>
      <c r="BO19" s="145" t="s">
        <v>22</v>
      </c>
      <c r="BS19" t="s">
        <v>445</v>
      </c>
      <c r="BT19" s="1">
        <f>B26</f>
        <v>7.8700000000000002E-5</v>
      </c>
      <c r="BU19" t="s">
        <v>107</v>
      </c>
      <c r="BV19" t="s">
        <v>404</v>
      </c>
      <c r="BW19">
        <v>45</v>
      </c>
      <c r="BX19" t="s">
        <v>52</v>
      </c>
      <c r="BY19" t="s">
        <v>127</v>
      </c>
      <c r="BZ19">
        <f>B49</f>
        <v>100</v>
      </c>
      <c r="CA19" t="s">
        <v>90</v>
      </c>
      <c r="CB19" s="405"/>
      <c r="CC19" s="81"/>
      <c r="CD19" s="82"/>
      <c r="CE19" s="232"/>
      <c r="CF19" s="81"/>
      <c r="CG19" s="82"/>
      <c r="CK19" s="399"/>
      <c r="CL19" s="400"/>
      <c r="CM19" s="401"/>
      <c r="CN19" s="393"/>
      <c r="CO19" s="81"/>
      <c r="CP19" s="82"/>
      <c r="CQ19" s="232"/>
      <c r="CR19" s="81"/>
      <c r="CS19" s="82"/>
      <c r="CT19" t="s">
        <v>479</v>
      </c>
      <c r="CU19" s="1">
        <f>FC3</f>
        <v>370.96501354764217</v>
      </c>
      <c r="CV19" t="s">
        <v>22</v>
      </c>
      <c r="CW19" t="s">
        <v>464</v>
      </c>
      <c r="CX19" s="1">
        <f>B2</f>
        <v>2.41E-4</v>
      </c>
      <c r="CZ19" t="s">
        <v>480</v>
      </c>
      <c r="DA19" s="1">
        <f>GS3</f>
        <v>30023.767538243967</v>
      </c>
      <c r="DD19" s="1">
        <v>9.9999999999999995E-7</v>
      </c>
      <c r="DF19" t="s">
        <v>137</v>
      </c>
      <c r="DG19">
        <v>2.6999999999999999E-5</v>
      </c>
      <c r="DH19" t="s">
        <v>130</v>
      </c>
      <c r="DO19" t="s">
        <v>137</v>
      </c>
      <c r="DP19">
        <v>2.6999999999999999E-5</v>
      </c>
      <c r="DQ19" t="s">
        <v>130</v>
      </c>
      <c r="DR19" t="s">
        <v>433</v>
      </c>
      <c r="DS19" s="1">
        <f>B61</f>
        <v>0.15</v>
      </c>
      <c r="ED19" t="s">
        <v>137</v>
      </c>
      <c r="EE19">
        <v>2.6999999999999999E-5</v>
      </c>
      <c r="EF19" t="s">
        <v>130</v>
      </c>
      <c r="EG19" t="s">
        <v>433</v>
      </c>
      <c r="EH19" s="1">
        <f>B61</f>
        <v>0.15</v>
      </c>
      <c r="ES19" t="s">
        <v>137</v>
      </c>
      <c r="ET19">
        <v>2.6999999999999999E-5</v>
      </c>
      <c r="EU19" t="s">
        <v>130</v>
      </c>
      <c r="EV19" t="s">
        <v>433</v>
      </c>
      <c r="EW19" s="1">
        <f>B61</f>
        <v>0.15</v>
      </c>
      <c r="FH19" t="s">
        <v>137</v>
      </c>
      <c r="FI19">
        <v>2.6999999999999999E-5</v>
      </c>
      <c r="FJ19" t="s">
        <v>130</v>
      </c>
      <c r="FK19" t="s">
        <v>433</v>
      </c>
      <c r="FL19" s="1">
        <f>B61</f>
        <v>0.15</v>
      </c>
      <c r="FW19" t="s">
        <v>137</v>
      </c>
      <c r="FX19">
        <v>2.6999999999999999E-5</v>
      </c>
      <c r="FY19" t="s">
        <v>130</v>
      </c>
      <c r="FZ19" t="s">
        <v>433</v>
      </c>
      <c r="GA19" s="1">
        <f>B61</f>
        <v>0.15</v>
      </c>
      <c r="GL19" t="s">
        <v>137</v>
      </c>
      <c r="GM19">
        <v>2.6999999999999999E-5</v>
      </c>
      <c r="GN19" t="s">
        <v>130</v>
      </c>
      <c r="GO19" t="s">
        <v>432</v>
      </c>
      <c r="GP19" s="1">
        <f>B62</f>
        <v>0.85</v>
      </c>
      <c r="HA19" t="s">
        <v>137</v>
      </c>
      <c r="HB19">
        <v>2.6999999999999999E-5</v>
      </c>
      <c r="HC19" t="s">
        <v>130</v>
      </c>
    </row>
    <row r="20" spans="1:214" ht="14.25" thickTop="1" thickBot="1" x14ac:dyDescent="0.25">
      <c r="A20" t="s">
        <v>490</v>
      </c>
      <c r="B20" s="410">
        <v>7.3999999999999999E-4</v>
      </c>
      <c r="C20" t="s">
        <v>448</v>
      </c>
      <c r="D20" t="s">
        <v>452</v>
      </c>
      <c r="E20" s="1">
        <f>(E5)/((E14/E15)*E10*E11)</f>
        <v>1.0418753756762172E-3</v>
      </c>
      <c r="F20" t="s">
        <v>36</v>
      </c>
      <c r="G20" t="s">
        <v>224</v>
      </c>
      <c r="H20">
        <f>B46</f>
        <v>20</v>
      </c>
      <c r="J20" t="s">
        <v>77</v>
      </c>
      <c r="K20" s="428">
        <f>K35*K31*K23*K53+K34*K32*K24*K54</f>
        <v>6192.3076923076924</v>
      </c>
      <c r="L20" t="s">
        <v>134</v>
      </c>
      <c r="M20" s="120" t="s">
        <v>475</v>
      </c>
      <c r="N20" s="123">
        <f>(N22*N23*N24)/((1-EXP(-N24*N23))*N27*N32*(N26/365)*N30*((N31*N29)+(N33*N28)))</f>
        <v>177.1129222398576</v>
      </c>
      <c r="O20" s="131"/>
      <c r="P20" s="253" t="s">
        <v>475</v>
      </c>
      <c r="Q20" s="123">
        <f>(Q22*Q23*Q24)/((1-EXP(-Q24*Q23))*Q27*Q32*(Q26/365)*Q30*((Q31*Q29)+(Q33*Q28)))</f>
        <v>158.87850135458996</v>
      </c>
      <c r="R20" s="122"/>
      <c r="AB20" t="s">
        <v>412</v>
      </c>
      <c r="AC20">
        <f>B47</f>
        <v>60</v>
      </c>
      <c r="AD20">
        <f>B47</f>
        <v>60</v>
      </c>
      <c r="AE20">
        <f>B47</f>
        <v>60</v>
      </c>
      <c r="AF20">
        <f>B47</f>
        <v>60</v>
      </c>
      <c r="AG20">
        <f>B47</f>
        <v>60</v>
      </c>
      <c r="AH20" t="s">
        <v>78</v>
      </c>
      <c r="AI20" s="136" t="s">
        <v>475</v>
      </c>
      <c r="AJ20" s="85">
        <f>(AJ22*AJ23*AJ24)/((1-EXP(-AJ24*AJ23))*AJ27*AJ32*(AJ26/365)*AJ30*((AJ31*AJ29)+(AJ33*AJ28)))</f>
        <v>507.66368643336654</v>
      </c>
      <c r="AK20" s="151"/>
      <c r="AL20" s="234" t="s">
        <v>475</v>
      </c>
      <c r="AM20" s="85">
        <f>(AM22*AM23*AM24)/((1-EXP(-AM24*AM23))*AM27*AM32*(AM26/365)*AM30*((AM31*AM29)+(AM33*AM28)))</f>
        <v>455.41237641325512</v>
      </c>
      <c r="AN20" s="137"/>
      <c r="AR20" s="144" t="s">
        <v>475</v>
      </c>
      <c r="AS20" s="87">
        <f>(AS22*AS23*AS24)/((1-EXP(-AS24*AS23))*AS27*AS32*(AS26/365)*AS30*((AS31*AS29)+(AS33*AS28)))</f>
        <v>14371229.623025235</v>
      </c>
      <c r="AT20" s="152"/>
      <c r="AU20" s="237" t="s">
        <v>475</v>
      </c>
      <c r="AV20" s="87">
        <f>(AV22*AV23*AV24)/((1-EXP(-AV24*AV23))*AV27*AV32*(AV26/365)*AV30*((AV31*AV29)+(AV33*AV28)))</f>
        <v>1499300.0046526918</v>
      </c>
      <c r="AW20" s="145"/>
      <c r="BA20" s="144" t="s">
        <v>475</v>
      </c>
      <c r="BB20" s="87">
        <f>(BB22*BB23*BB24)/((1-EXP(-BB24*BB23))*BB27*BB32*(BB26/365)*BB30*((BB31*BB29)+(BB33*BB28)))</f>
        <v>12934106.660722716</v>
      </c>
      <c r="BC20" s="152"/>
      <c r="BD20" s="237" t="s">
        <v>475</v>
      </c>
      <c r="BE20" s="87">
        <f>(BE22*BE23*BE24)/((1-EXP(-BE24*BE23))*BE27*BE32*(BE26/365)*BE30*((BE31*BE29)+(BE33*BE28)))</f>
        <v>1349370.0041874226</v>
      </c>
      <c r="BF20" s="145"/>
      <c r="BJ20" s="144" t="s">
        <v>475</v>
      </c>
      <c r="BK20" s="87">
        <f>(BK22*BK23*BK24)/((1-EXP(-BK24*BK23))*BK29*BK34*(BK26/365)*BK32*BK33*BK31)</f>
        <v>12688355.152948759</v>
      </c>
      <c r="BL20" s="152"/>
      <c r="BM20" s="237" t="s">
        <v>475</v>
      </c>
      <c r="BN20" s="87">
        <f>(BN22*BN23*BN24)/((1-EXP(-BN24*BN23))*BN29*BN34*(BN26/365)*BN32*BN33*BN31)</f>
        <v>1323731.6109243601</v>
      </c>
      <c r="BO20" s="145"/>
      <c r="BS20" t="s">
        <v>464</v>
      </c>
      <c r="BT20" s="1">
        <f>B2</f>
        <v>2.41E-4</v>
      </c>
      <c r="BV20" t="s">
        <v>100</v>
      </c>
      <c r="BW20">
        <v>1</v>
      </c>
      <c r="BX20" t="s">
        <v>119</v>
      </c>
      <c r="BY20" t="s">
        <v>223</v>
      </c>
      <c r="BZ20">
        <f>B45</f>
        <v>10</v>
      </c>
      <c r="CA20" t="s">
        <v>78</v>
      </c>
      <c r="CB20" t="s">
        <v>458</v>
      </c>
      <c r="CC20" s="1">
        <v>1</v>
      </c>
      <c r="CD20" t="s">
        <v>459</v>
      </c>
      <c r="CE20" t="s">
        <v>458</v>
      </c>
      <c r="CF20" s="1">
        <v>1</v>
      </c>
      <c r="CG20" t="s">
        <v>459</v>
      </c>
      <c r="CK20" t="s">
        <v>458</v>
      </c>
      <c r="CL20" s="1">
        <v>1</v>
      </c>
      <c r="CM20" t="s">
        <v>459</v>
      </c>
      <c r="CN20" t="s">
        <v>396</v>
      </c>
      <c r="CO20" s="1">
        <f>B39</f>
        <v>1.7000000000000001E-4</v>
      </c>
      <c r="CQ20" t="s">
        <v>396</v>
      </c>
      <c r="CR20">
        <f>CO20</f>
        <v>1.7000000000000001E-4</v>
      </c>
      <c r="CT20" t="s">
        <v>480</v>
      </c>
      <c r="CU20" s="1">
        <f>GV3</f>
        <v>218.215460590361</v>
      </c>
      <c r="CV20" t="s">
        <v>22</v>
      </c>
      <c r="CW20" t="s">
        <v>452</v>
      </c>
      <c r="CX20" s="1">
        <f>(CX5)/((CX14/CX15)*CX10*CX11)</f>
        <v>9.9638809316228666E-4</v>
      </c>
      <c r="CY20" t="s">
        <v>36</v>
      </c>
      <c r="CZ20" t="s">
        <v>481</v>
      </c>
      <c r="DA20" s="1">
        <f>EK3</f>
        <v>12.260487492938147</v>
      </c>
      <c r="DD20" s="1">
        <v>1000</v>
      </c>
      <c r="DE20" t="s">
        <v>179</v>
      </c>
      <c r="DF20" t="s">
        <v>138</v>
      </c>
      <c r="DG20" s="1">
        <f>0.693/DG23</f>
        <v>4.3949771689497717E-6</v>
      </c>
      <c r="DH20" t="s">
        <v>130</v>
      </c>
      <c r="DO20" t="s">
        <v>138</v>
      </c>
      <c r="DP20">
        <v>0</v>
      </c>
      <c r="DQ20" t="s">
        <v>130</v>
      </c>
      <c r="DR20" t="s">
        <v>432</v>
      </c>
      <c r="DS20" s="1">
        <f>B62</f>
        <v>0.85</v>
      </c>
      <c r="ED20" t="s">
        <v>138</v>
      </c>
      <c r="EE20">
        <v>0</v>
      </c>
      <c r="EF20" t="s">
        <v>130</v>
      </c>
      <c r="EG20" t="s">
        <v>432</v>
      </c>
      <c r="EH20" s="1">
        <f>B62</f>
        <v>0.85</v>
      </c>
      <c r="ES20" t="s">
        <v>138</v>
      </c>
      <c r="ET20">
        <v>0</v>
      </c>
      <c r="EU20" t="s">
        <v>130</v>
      </c>
      <c r="EV20" t="s">
        <v>432</v>
      </c>
      <c r="EW20" s="1">
        <f>B62</f>
        <v>0.85</v>
      </c>
      <c r="FH20" t="s">
        <v>138</v>
      </c>
      <c r="FI20">
        <v>0</v>
      </c>
      <c r="FJ20" t="s">
        <v>130</v>
      </c>
      <c r="FK20" t="s">
        <v>432</v>
      </c>
      <c r="FL20" s="1">
        <f>B62</f>
        <v>0.85</v>
      </c>
      <c r="FW20" t="s">
        <v>138</v>
      </c>
      <c r="FX20">
        <v>0</v>
      </c>
      <c r="FY20" t="s">
        <v>130</v>
      </c>
      <c r="FZ20" t="s">
        <v>432</v>
      </c>
      <c r="GA20" s="1">
        <f>B62</f>
        <v>0.85</v>
      </c>
      <c r="GL20" t="s">
        <v>138</v>
      </c>
      <c r="GM20">
        <v>0</v>
      </c>
      <c r="GN20" t="s">
        <v>130</v>
      </c>
      <c r="HA20" t="s">
        <v>138</v>
      </c>
      <c r="HB20">
        <v>0</v>
      </c>
      <c r="HC20" t="s">
        <v>130</v>
      </c>
    </row>
    <row r="21" spans="1:214" ht="14.25" thickTop="1" thickBot="1" x14ac:dyDescent="0.25">
      <c r="A21" t="s">
        <v>440</v>
      </c>
      <c r="B21" s="410">
        <v>3.7100000000000001E-2</v>
      </c>
      <c r="C21" t="s">
        <v>449</v>
      </c>
      <c r="D21" t="s">
        <v>477</v>
      </c>
      <c r="E21" s="1">
        <f>(E5)/((E14/E15)*E8*E9*E18*(1/365)*E19)</f>
        <v>54983584.010773771</v>
      </c>
      <c r="F21" t="s">
        <v>36</v>
      </c>
      <c r="G21" t="s">
        <v>240</v>
      </c>
      <c r="H21" s="426">
        <f>(H29*H32*H38*H34*H70)+(H30*H33*H39*H35*H71)</f>
        <v>234.76923076923077</v>
      </c>
      <c r="I21" t="s">
        <v>408</v>
      </c>
      <c r="J21" t="s">
        <v>108</v>
      </c>
      <c r="K21">
        <f>B48</f>
        <v>200</v>
      </c>
      <c r="L21" t="s">
        <v>90</v>
      </c>
      <c r="M21" s="124"/>
      <c r="N21" s="125"/>
      <c r="O21" s="169"/>
      <c r="P21" s="254"/>
      <c r="Q21" s="125"/>
      <c r="R21" s="126"/>
      <c r="AB21" t="s">
        <v>462</v>
      </c>
      <c r="AC21">
        <v>0.4</v>
      </c>
      <c r="AD21">
        <v>0.4</v>
      </c>
      <c r="AE21">
        <v>0.4</v>
      </c>
      <c r="AF21">
        <v>0.4</v>
      </c>
      <c r="AG21">
        <v>0.4</v>
      </c>
      <c r="AI21" s="138" t="s">
        <v>32</v>
      </c>
      <c r="AJ21" s="139"/>
      <c r="AK21" s="153"/>
      <c r="AL21" s="235" t="s">
        <v>32</v>
      </c>
      <c r="AM21" s="139"/>
      <c r="AN21" s="140"/>
      <c r="AR21" s="146" t="s">
        <v>32</v>
      </c>
      <c r="AS21" s="147"/>
      <c r="AT21" s="154"/>
      <c r="AU21" s="238" t="s">
        <v>32</v>
      </c>
      <c r="AV21" s="147"/>
      <c r="AW21" s="148"/>
      <c r="BA21" s="146" t="s">
        <v>32</v>
      </c>
      <c r="BB21" s="147"/>
      <c r="BC21" s="154"/>
      <c r="BD21" s="238" t="s">
        <v>32</v>
      </c>
      <c r="BE21" s="147"/>
      <c r="BF21" s="148"/>
      <c r="BJ21" s="146" t="s">
        <v>32</v>
      </c>
      <c r="BK21" s="147"/>
      <c r="BL21" s="154"/>
      <c r="BM21" s="238" t="s">
        <v>32</v>
      </c>
      <c r="BN21" s="147"/>
      <c r="BO21" s="148"/>
      <c r="BS21" t="s">
        <v>452</v>
      </c>
      <c r="BT21" s="1">
        <f>(BT5)/(BT10*BT11)</f>
        <v>6.8817204301075269E-2</v>
      </c>
      <c r="BU21" t="s">
        <v>36</v>
      </c>
      <c r="BV21" t="s">
        <v>402</v>
      </c>
      <c r="BW21">
        <v>1</v>
      </c>
      <c r="BY21" t="s">
        <v>224</v>
      </c>
      <c r="BZ21">
        <f>B46</f>
        <v>20</v>
      </c>
      <c r="CA21" t="s">
        <v>78</v>
      </c>
      <c r="CB21" t="s">
        <v>58</v>
      </c>
      <c r="CC21">
        <v>26</v>
      </c>
      <c r="CD21" t="s">
        <v>59</v>
      </c>
      <c r="CE21" t="s">
        <v>58</v>
      </c>
      <c r="CF21">
        <v>26</v>
      </c>
      <c r="CG21" t="s">
        <v>59</v>
      </c>
      <c r="CK21" t="s">
        <v>447</v>
      </c>
      <c r="CL21" s="1">
        <f>E35</f>
        <v>7.3999999999999999E-4</v>
      </c>
      <c r="CM21" t="s">
        <v>22</v>
      </c>
      <c r="CN21" t="s">
        <v>47</v>
      </c>
      <c r="CO21">
        <f>CO23</f>
        <v>5.0000000000000001E-3</v>
      </c>
      <c r="CQ21" t="s">
        <v>316</v>
      </c>
      <c r="CR21" s="17">
        <v>1</v>
      </c>
      <c r="CS21" t="s">
        <v>56</v>
      </c>
      <c r="CT21" t="s">
        <v>481</v>
      </c>
      <c r="CU21" s="1">
        <f>EN3</f>
        <v>190.94414452788081</v>
      </c>
      <c r="CV21" t="s">
        <v>22</v>
      </c>
      <c r="CW21" t="s">
        <v>477</v>
      </c>
      <c r="CX21" s="1">
        <f>(CX5)/((CX14/CX15)*CX8*CX9*CX18*(1/365)*CX19)</f>
        <v>54983584.010773771</v>
      </c>
      <c r="CY21" t="s">
        <v>36</v>
      </c>
      <c r="CZ21" t="s">
        <v>482</v>
      </c>
      <c r="DA21" s="1">
        <f>DV3</f>
        <v>37.394131044980043</v>
      </c>
      <c r="DC21" t="s">
        <v>139</v>
      </c>
      <c r="DD21">
        <v>1</v>
      </c>
      <c r="DF21" t="s">
        <v>140</v>
      </c>
      <c r="DG21">
        <v>1</v>
      </c>
      <c r="DH21" t="s">
        <v>75</v>
      </c>
      <c r="DO21" t="s">
        <v>140</v>
      </c>
      <c r="DP21">
        <v>1</v>
      </c>
      <c r="DQ21" t="s">
        <v>75</v>
      </c>
      <c r="ED21" t="s">
        <v>140</v>
      </c>
      <c r="EE21">
        <v>1</v>
      </c>
      <c r="EF21" t="s">
        <v>75</v>
      </c>
      <c r="ES21" t="s">
        <v>140</v>
      </c>
      <c r="ET21">
        <v>1</v>
      </c>
      <c r="EU21" t="s">
        <v>75</v>
      </c>
      <c r="FH21" t="s">
        <v>140</v>
      </c>
      <c r="FI21">
        <v>1</v>
      </c>
      <c r="FJ21" t="s">
        <v>75</v>
      </c>
      <c r="FW21" t="s">
        <v>140</v>
      </c>
      <c r="FX21">
        <v>1</v>
      </c>
      <c r="FY21" t="s">
        <v>75</v>
      </c>
      <c r="GL21" t="s">
        <v>140</v>
      </c>
      <c r="GM21">
        <v>1</v>
      </c>
      <c r="GN21" t="s">
        <v>75</v>
      </c>
      <c r="HA21" t="s">
        <v>140</v>
      </c>
      <c r="HB21">
        <v>1</v>
      </c>
      <c r="HC21" t="s">
        <v>75</v>
      </c>
      <c r="HD21" s="157" t="s">
        <v>456</v>
      </c>
      <c r="HE21" s="158" t="s">
        <v>0</v>
      </c>
      <c r="HF21" s="159" t="s">
        <v>143</v>
      </c>
    </row>
    <row r="22" spans="1:214" ht="13.5" thickTop="1" x14ac:dyDescent="0.2">
      <c r="A22" t="s">
        <v>441</v>
      </c>
      <c r="B22" s="410">
        <v>2.7199999999999998E-2</v>
      </c>
      <c r="C22" t="s">
        <v>450</v>
      </c>
      <c r="D22" t="s">
        <v>452</v>
      </c>
      <c r="E22" s="1">
        <f>(E5*E9*E6)/((E14/E15)*(1-EXP(-E6*E9))*E10*E11)</f>
        <v>1.0419081950953828E-3</v>
      </c>
      <c r="F22" t="s">
        <v>37</v>
      </c>
      <c r="G22" t="s">
        <v>373</v>
      </c>
      <c r="H22" s="427">
        <f>(H29*H32*H23*H70)+(H30*H33*H24*H71)</f>
        <v>16326.153846153848</v>
      </c>
      <c r="I22" t="s">
        <v>213</v>
      </c>
      <c r="J22" t="s">
        <v>127</v>
      </c>
      <c r="K22">
        <f>B49</f>
        <v>100</v>
      </c>
      <c r="L22" t="s">
        <v>90</v>
      </c>
      <c r="M22" t="s">
        <v>485</v>
      </c>
      <c r="N22" s="1">
        <v>1</v>
      </c>
      <c r="P22" t="s">
        <v>485</v>
      </c>
      <c r="Q22" s="1">
        <v>1</v>
      </c>
      <c r="V22" s="88" t="s">
        <v>1</v>
      </c>
      <c r="W22" s="89" t="s">
        <v>5</v>
      </c>
      <c r="X22" s="89" t="s">
        <v>0</v>
      </c>
      <c r="Y22" s="248" t="s">
        <v>1</v>
      </c>
      <c r="Z22" s="89" t="s">
        <v>222</v>
      </c>
      <c r="AA22" s="90" t="s">
        <v>0</v>
      </c>
      <c r="AB22" t="s">
        <v>105</v>
      </c>
      <c r="AC22" s="1">
        <f>B3</f>
        <v>0.753</v>
      </c>
      <c r="AD22" s="1">
        <f>B3</f>
        <v>0.753</v>
      </c>
      <c r="AE22" s="1">
        <f>B3</f>
        <v>0.753</v>
      </c>
      <c r="AF22" s="1">
        <f>B3</f>
        <v>0.753</v>
      </c>
      <c r="AG22" s="1">
        <f>B3</f>
        <v>0.753</v>
      </c>
      <c r="AI22" t="s">
        <v>458</v>
      </c>
      <c r="AJ22" s="1">
        <v>1</v>
      </c>
      <c r="AK22" t="s">
        <v>459</v>
      </c>
      <c r="AL22" t="s">
        <v>458</v>
      </c>
      <c r="AM22" s="1">
        <v>1</v>
      </c>
      <c r="AN22" t="s">
        <v>459</v>
      </c>
      <c r="AR22" t="s">
        <v>458</v>
      </c>
      <c r="AS22" s="1">
        <v>1</v>
      </c>
      <c r="AT22" t="s">
        <v>459</v>
      </c>
      <c r="AU22" t="s">
        <v>458</v>
      </c>
      <c r="AV22" s="1">
        <v>1</v>
      </c>
      <c r="AW22" t="s">
        <v>459</v>
      </c>
      <c r="BA22" t="s">
        <v>458</v>
      </c>
      <c r="BB22" s="1">
        <v>1</v>
      </c>
      <c r="BC22" t="s">
        <v>459</v>
      </c>
      <c r="BD22" t="s">
        <v>458</v>
      </c>
      <c r="BE22" s="1">
        <v>1</v>
      </c>
      <c r="BF22" t="s">
        <v>459</v>
      </c>
      <c r="BJ22" t="s">
        <v>458</v>
      </c>
      <c r="BK22" s="1">
        <v>1</v>
      </c>
      <c r="BL22" t="s">
        <v>459</v>
      </c>
      <c r="BM22" t="s">
        <v>458</v>
      </c>
      <c r="BN22" s="1">
        <v>1</v>
      </c>
      <c r="BO22" t="s">
        <v>459</v>
      </c>
      <c r="BS22" t="s">
        <v>477</v>
      </c>
      <c r="BT22" s="1">
        <f>(BT5)/((BT14/24)*BT8*BT9*BT19*(1/365)*BT20)</f>
        <v>6158161409.2066622</v>
      </c>
      <c r="BU22" t="s">
        <v>36</v>
      </c>
      <c r="BV22" t="s">
        <v>401</v>
      </c>
      <c r="BW22">
        <v>1</v>
      </c>
      <c r="BY22" t="s">
        <v>221</v>
      </c>
      <c r="BZ22">
        <v>75</v>
      </c>
      <c r="CA22" t="s">
        <v>52</v>
      </c>
      <c r="CB22" t="s">
        <v>49</v>
      </c>
      <c r="CC22" s="1">
        <f>0.693/CC23</f>
        <v>1.6041666666666665E-3</v>
      </c>
      <c r="CE22" t="s">
        <v>49</v>
      </c>
      <c r="CF22" s="1">
        <f>0.693/CF23</f>
        <v>1.6041666666666665E-3</v>
      </c>
      <c r="CK22" t="s">
        <v>221</v>
      </c>
      <c r="CL22">
        <v>75</v>
      </c>
      <c r="CM22" t="s">
        <v>245</v>
      </c>
      <c r="CN22" t="s">
        <v>54</v>
      </c>
      <c r="CO22">
        <f>CO24</f>
        <v>0.25</v>
      </c>
      <c r="CR22">
        <v>1000</v>
      </c>
      <c r="CS22" t="s">
        <v>213</v>
      </c>
      <c r="CT22" t="s">
        <v>482</v>
      </c>
      <c r="CU22" s="1">
        <f>DY3</f>
        <v>726.3449151545824</v>
      </c>
      <c r="CV22" t="s">
        <v>22</v>
      </c>
      <c r="CW22" t="s">
        <v>452</v>
      </c>
      <c r="CX22" s="1">
        <f>(CX5*CX9*CX6)/((CX14/CX15)*(1-EXP(-CX6*CX9))*CX10*CX11)</f>
        <v>9.9718749311663657E-4</v>
      </c>
      <c r="CY22" t="s">
        <v>37</v>
      </c>
      <c r="CZ22" t="s">
        <v>483</v>
      </c>
      <c r="DA22" s="1">
        <f>GD3</f>
        <v>14720.339363106974</v>
      </c>
      <c r="DC22" t="s">
        <v>433</v>
      </c>
      <c r="DD22" s="1">
        <f>B61</f>
        <v>0.15</v>
      </c>
      <c r="DF22" t="s">
        <v>144</v>
      </c>
      <c r="DG22">
        <v>14</v>
      </c>
      <c r="DH22" t="s">
        <v>145</v>
      </c>
      <c r="DO22" t="s">
        <v>144</v>
      </c>
      <c r="DP22">
        <v>14</v>
      </c>
      <c r="DQ22" t="s">
        <v>145</v>
      </c>
      <c r="ED22" t="s">
        <v>144</v>
      </c>
      <c r="EE22">
        <v>14</v>
      </c>
      <c r="EF22" t="s">
        <v>145</v>
      </c>
      <c r="ES22" t="s">
        <v>144</v>
      </c>
      <c r="ET22">
        <v>14</v>
      </c>
      <c r="EU22" t="s">
        <v>145</v>
      </c>
      <c r="FH22" t="s">
        <v>144</v>
      </c>
      <c r="FI22">
        <v>14</v>
      </c>
      <c r="FJ22" t="s">
        <v>145</v>
      </c>
      <c r="FW22" t="s">
        <v>144</v>
      </c>
      <c r="FX22">
        <v>14</v>
      </c>
      <c r="FY22" t="s">
        <v>145</v>
      </c>
      <c r="GL22" t="s">
        <v>144</v>
      </c>
      <c r="GM22">
        <v>14</v>
      </c>
      <c r="GN22" t="s">
        <v>145</v>
      </c>
      <c r="HA22" t="s">
        <v>144</v>
      </c>
      <c r="HB22">
        <v>14</v>
      </c>
      <c r="HC22" t="s">
        <v>145</v>
      </c>
      <c r="HD22" s="160" t="s">
        <v>22</v>
      </c>
      <c r="HE22" s="161" t="s">
        <v>33</v>
      </c>
      <c r="HF22" s="162" t="s">
        <v>35</v>
      </c>
    </row>
    <row r="23" spans="1:214" x14ac:dyDescent="0.2">
      <c r="A23" t="s">
        <v>442</v>
      </c>
      <c r="B23" s="410">
        <v>1.84E-2</v>
      </c>
      <c r="C23" t="s">
        <v>449</v>
      </c>
      <c r="D23" t="s">
        <v>477</v>
      </c>
      <c r="E23" s="1">
        <f>(E5*E9*E6)/((E14/E15)*E8*E9*(1-EXP(-E6*E9))*E18*(1/365)*E19)</f>
        <v>54985316.011868142</v>
      </c>
      <c r="F23" t="s">
        <v>37</v>
      </c>
      <c r="G23" t="s">
        <v>374</v>
      </c>
      <c r="H23" s="1">
        <f>B52</f>
        <v>14.8</v>
      </c>
      <c r="I23" t="s">
        <v>380</v>
      </c>
      <c r="J23" t="s">
        <v>223</v>
      </c>
      <c r="K23">
        <f>B45</f>
        <v>10</v>
      </c>
      <c r="L23" t="s">
        <v>78</v>
      </c>
      <c r="M23" t="s">
        <v>58</v>
      </c>
      <c r="N23">
        <v>26</v>
      </c>
      <c r="O23" t="s">
        <v>59</v>
      </c>
      <c r="P23" t="s">
        <v>58</v>
      </c>
      <c r="Q23">
        <v>26</v>
      </c>
      <c r="R23" t="s">
        <v>59</v>
      </c>
      <c r="V23" s="91" t="s">
        <v>18</v>
      </c>
      <c r="W23" s="92" t="s">
        <v>456</v>
      </c>
      <c r="X23" s="92" t="s">
        <v>19</v>
      </c>
      <c r="Y23" s="249" t="s">
        <v>18</v>
      </c>
      <c r="Z23" s="92" t="s">
        <v>456</v>
      </c>
      <c r="AA23" s="93" t="s">
        <v>19</v>
      </c>
      <c r="AB23" t="s">
        <v>460</v>
      </c>
      <c r="AC23" s="1">
        <f>B21</f>
        <v>3.7100000000000001E-2</v>
      </c>
      <c r="AD23" s="1">
        <f>B21</f>
        <v>3.7100000000000001E-2</v>
      </c>
      <c r="AE23" s="1">
        <f>B21</f>
        <v>3.7100000000000001E-2</v>
      </c>
      <c r="AF23" s="1">
        <f>B21</f>
        <v>3.7100000000000001E-2</v>
      </c>
      <c r="AG23" s="1">
        <f>B21</f>
        <v>3.7100000000000001E-2</v>
      </c>
      <c r="AH23" t="s">
        <v>147</v>
      </c>
      <c r="AI23" t="s">
        <v>58</v>
      </c>
      <c r="AJ23">
        <v>25</v>
      </c>
      <c r="AK23" t="s">
        <v>59</v>
      </c>
      <c r="AL23" t="s">
        <v>58</v>
      </c>
      <c r="AM23">
        <v>25</v>
      </c>
      <c r="AN23" t="s">
        <v>59</v>
      </c>
      <c r="AR23" t="s">
        <v>58</v>
      </c>
      <c r="AS23">
        <v>25</v>
      </c>
      <c r="AT23" t="s">
        <v>59</v>
      </c>
      <c r="AU23" t="s">
        <v>58</v>
      </c>
      <c r="AV23">
        <v>25</v>
      </c>
      <c r="AW23" t="s">
        <v>59</v>
      </c>
      <c r="BA23" t="s">
        <v>58</v>
      </c>
      <c r="BB23">
        <v>25</v>
      </c>
      <c r="BC23" t="s">
        <v>59</v>
      </c>
      <c r="BD23" t="s">
        <v>58</v>
      </c>
      <c r="BE23">
        <v>25</v>
      </c>
      <c r="BF23" t="s">
        <v>59</v>
      </c>
      <c r="BJ23" t="s">
        <v>58</v>
      </c>
      <c r="BK23">
        <v>1</v>
      </c>
      <c r="BL23" t="s">
        <v>59</v>
      </c>
      <c r="BM23" t="s">
        <v>58</v>
      </c>
      <c r="BN23">
        <v>1</v>
      </c>
      <c r="BO23" t="s">
        <v>59</v>
      </c>
      <c r="BS23" t="s">
        <v>452</v>
      </c>
      <c r="BT23" s="1">
        <f>(BT5*BT28*BT6)/((1-EXP(-BT6*BT9))*BT10*BT11)</f>
        <v>1.790682820972648</v>
      </c>
      <c r="BU23" t="s">
        <v>37</v>
      </c>
      <c r="BV23" t="s">
        <v>399</v>
      </c>
      <c r="BW23">
        <v>1</v>
      </c>
      <c r="BX23" t="s">
        <v>164</v>
      </c>
      <c r="BY23" t="s">
        <v>73</v>
      </c>
      <c r="BZ23">
        <v>75</v>
      </c>
      <c r="CA23" t="s">
        <v>52</v>
      </c>
      <c r="CB23" t="s">
        <v>411</v>
      </c>
      <c r="CC23" s="1">
        <f>B29</f>
        <v>432</v>
      </c>
      <c r="CD23" t="s">
        <v>119</v>
      </c>
      <c r="CE23" t="s">
        <v>411</v>
      </c>
      <c r="CF23" s="1">
        <f>B29</f>
        <v>432</v>
      </c>
      <c r="CG23" t="s">
        <v>119</v>
      </c>
      <c r="CK23" t="s">
        <v>99</v>
      </c>
      <c r="CL23">
        <v>1</v>
      </c>
      <c r="CM23" t="s">
        <v>253</v>
      </c>
      <c r="CN23" t="s">
        <v>64</v>
      </c>
      <c r="CO23">
        <v>5.0000000000000001E-3</v>
      </c>
      <c r="CT23" t="s">
        <v>483</v>
      </c>
      <c r="CU23" s="1">
        <f>GG3</f>
        <v>103.19125136315641</v>
      </c>
      <c r="CV23" t="s">
        <v>22</v>
      </c>
      <c r="CW23" t="s">
        <v>477</v>
      </c>
      <c r="CX23" s="1">
        <f>(CX5*CX9*CX6)/((CX14/CX15)*CX8*CX9*(1-EXP(-CX6*CX9))*CX18*(1/365)*CX19)</f>
        <v>55027697.2181172</v>
      </c>
      <c r="CY23" t="s">
        <v>37</v>
      </c>
      <c r="CZ23" t="s">
        <v>484</v>
      </c>
      <c r="DA23" s="1">
        <f>FO3</f>
        <v>1.1776271490485581</v>
      </c>
      <c r="DC23" t="s">
        <v>432</v>
      </c>
      <c r="DD23" s="1">
        <f>B62</f>
        <v>0.85</v>
      </c>
      <c r="DF23" t="s">
        <v>485</v>
      </c>
      <c r="DG23" s="1">
        <f>B33</f>
        <v>157680</v>
      </c>
      <c r="DH23" t="s">
        <v>381</v>
      </c>
      <c r="DO23" t="s">
        <v>46</v>
      </c>
      <c r="DP23">
        <f>DP25</f>
        <v>5.0000000000000002E-5</v>
      </c>
      <c r="ED23" t="s">
        <v>46</v>
      </c>
      <c r="EE23">
        <f>EE25</f>
        <v>6.0000000000000001E-3</v>
      </c>
      <c r="ES23" t="s">
        <v>46</v>
      </c>
      <c r="ET23">
        <f>ET25</f>
        <v>6.0000000000000001E-3</v>
      </c>
      <c r="FH23" t="s">
        <v>46</v>
      </c>
      <c r="FI23">
        <v>0.2</v>
      </c>
      <c r="FW23" t="s">
        <v>46</v>
      </c>
      <c r="FX23">
        <f>FX25</f>
        <v>0.2</v>
      </c>
      <c r="GL23" t="s">
        <v>46</v>
      </c>
      <c r="GM23">
        <f>GM25</f>
        <v>5.0000000000000001E-3</v>
      </c>
      <c r="HA23" t="s">
        <v>46</v>
      </c>
      <c r="HB23">
        <f>HB25</f>
        <v>5.0000000000000001E-3</v>
      </c>
      <c r="HD23" s="302">
        <f>(HE25*HE33*HE38*HE32*10^-3*HE31*HE27)/(HE30*HE41*(1-EXP(-HE27*HE31)))</f>
        <v>0.4286492240152649</v>
      </c>
      <c r="HE23" s="303"/>
      <c r="HF23" s="162" t="s">
        <v>38</v>
      </c>
    </row>
    <row r="24" spans="1:214" ht="13.5" thickBot="1" x14ac:dyDescent="0.25">
      <c r="A24" t="s">
        <v>443</v>
      </c>
      <c r="B24" s="410">
        <v>3.4500000000000003E-2</v>
      </c>
      <c r="C24" t="s">
        <v>449</v>
      </c>
      <c r="D24" t="s">
        <v>225</v>
      </c>
      <c r="E24">
        <v>350</v>
      </c>
      <c r="F24" t="s">
        <v>52</v>
      </c>
      <c r="G24" t="s">
        <v>375</v>
      </c>
      <c r="H24" s="1">
        <f>B53</f>
        <v>56.2</v>
      </c>
      <c r="I24" t="s">
        <v>380</v>
      </c>
      <c r="J24" t="s">
        <v>224</v>
      </c>
      <c r="K24">
        <f>B46</f>
        <v>20</v>
      </c>
      <c r="L24" t="s">
        <v>78</v>
      </c>
      <c r="M24" t="s">
        <v>49</v>
      </c>
      <c r="N24" s="1">
        <f>0.693/N25</f>
        <v>1.6041666666666665E-3</v>
      </c>
      <c r="P24" t="s">
        <v>49</v>
      </c>
      <c r="Q24" s="1">
        <f>0.693/Q25</f>
        <v>1.6041666666666665E-3</v>
      </c>
      <c r="V24" s="91" t="s">
        <v>37</v>
      </c>
      <c r="W24" s="94">
        <f>1/((1/W39)+(1/W40))</f>
        <v>1.2913577736464784E-3</v>
      </c>
      <c r="X24" s="127"/>
      <c r="Y24" s="250" t="s">
        <v>37</v>
      </c>
      <c r="Z24" s="94">
        <f>1/((1/Z37)+(1/Z38))</f>
        <v>1.2913578035788288E-3</v>
      </c>
      <c r="AA24" s="95"/>
      <c r="AB24" t="s">
        <v>436</v>
      </c>
      <c r="AC24" s="1">
        <f>B17</f>
        <v>0.155</v>
      </c>
      <c r="AD24" s="1">
        <f>B17</f>
        <v>0.155</v>
      </c>
      <c r="AE24" s="1">
        <f>B17</f>
        <v>0.155</v>
      </c>
      <c r="AF24" s="1">
        <f>B17</f>
        <v>0.155</v>
      </c>
      <c r="AG24" s="1">
        <f>B17</f>
        <v>0.155</v>
      </c>
      <c r="AH24" t="s">
        <v>61</v>
      </c>
      <c r="AI24" t="s">
        <v>49</v>
      </c>
      <c r="AJ24" s="1">
        <f>0.693/AJ25</f>
        <v>1.6041666666666665E-3</v>
      </c>
      <c r="AL24" t="s">
        <v>49</v>
      </c>
      <c r="AM24" s="1">
        <f>0.693/AM25</f>
        <v>1.6041666666666665E-3</v>
      </c>
      <c r="AR24" t="s">
        <v>49</v>
      </c>
      <c r="AS24" s="1">
        <f>0.693/AS25</f>
        <v>1.6041666666666665E-3</v>
      </c>
      <c r="AU24" t="s">
        <v>49</v>
      </c>
      <c r="AV24" s="1">
        <f>0.693/AV25</f>
        <v>1.6041666666666665E-3</v>
      </c>
      <c r="BA24" t="s">
        <v>49</v>
      </c>
      <c r="BB24" s="1">
        <f>0.693/BB25</f>
        <v>1.6041666666666665E-3</v>
      </c>
      <c r="BD24" t="s">
        <v>49</v>
      </c>
      <c r="BE24" s="1">
        <f>0.693/BE25</f>
        <v>1.6041666666666665E-3</v>
      </c>
      <c r="BJ24" t="s">
        <v>49</v>
      </c>
      <c r="BK24" s="1">
        <f>0.693/BK25</f>
        <v>1.6041666666666665E-3</v>
      </c>
      <c r="BM24" t="s">
        <v>49</v>
      </c>
      <c r="BN24" s="1">
        <f>0.693/BN25</f>
        <v>1.6041666666666665E-3</v>
      </c>
      <c r="BS24" t="s">
        <v>477</v>
      </c>
      <c r="BT24" s="1">
        <f>(BT5*BT9*BT6)/((BT14/24)*BT8*BT9*(1-EXP(-BT6*BT9))*BT19*(1/365)*BT20)</f>
        <v>6163102088.4291277</v>
      </c>
      <c r="BU24" t="s">
        <v>37</v>
      </c>
      <c r="BV24" t="s">
        <v>398</v>
      </c>
      <c r="BW24">
        <v>1</v>
      </c>
      <c r="BX24" t="s">
        <v>164</v>
      </c>
      <c r="BY24" t="s">
        <v>67</v>
      </c>
      <c r="BZ24">
        <v>75</v>
      </c>
      <c r="CA24" t="s">
        <v>52</v>
      </c>
      <c r="CB24" t="s">
        <v>51</v>
      </c>
      <c r="CC24">
        <v>75</v>
      </c>
      <c r="CD24" t="s">
        <v>60</v>
      </c>
      <c r="CE24" t="s">
        <v>51</v>
      </c>
      <c r="CF24">
        <v>75</v>
      </c>
      <c r="CG24" t="s">
        <v>60</v>
      </c>
      <c r="CK24" t="s">
        <v>304</v>
      </c>
      <c r="CL24" s="17">
        <v>1</v>
      </c>
      <c r="CM24" t="s">
        <v>380</v>
      </c>
      <c r="CN24" t="s">
        <v>311</v>
      </c>
      <c r="CO24" s="17">
        <v>0.25</v>
      </c>
      <c r="CT24" t="s">
        <v>484</v>
      </c>
      <c r="CU24" s="1">
        <f>FR3</f>
        <v>9.6565426221981755E-3</v>
      </c>
      <c r="CV24" t="s">
        <v>22</v>
      </c>
      <c r="CW24" t="s">
        <v>225</v>
      </c>
      <c r="CX24">
        <v>350</v>
      </c>
      <c r="CY24" t="s">
        <v>52</v>
      </c>
      <c r="CZ24" t="s">
        <v>81</v>
      </c>
      <c r="DA24" s="427">
        <f>(DA35*DA37*DA27*DA51)+(DA36*DA38*DA28*DA52)</f>
        <v>784.7</v>
      </c>
      <c r="DB24" t="s">
        <v>180</v>
      </c>
      <c r="DG24">
        <v>1000</v>
      </c>
      <c r="DO24" t="s">
        <v>54</v>
      </c>
      <c r="DP24">
        <f>DP26</f>
        <v>0.26</v>
      </c>
      <c r="ED24" t="s">
        <v>54</v>
      </c>
      <c r="EE24">
        <f>EE26</f>
        <v>0.25</v>
      </c>
      <c r="ES24" t="s">
        <v>54</v>
      </c>
      <c r="ET24">
        <f>ET26</f>
        <v>0.25</v>
      </c>
      <c r="FH24" t="s">
        <v>54</v>
      </c>
      <c r="FI24">
        <v>0.25</v>
      </c>
      <c r="FW24" t="s">
        <v>54</v>
      </c>
      <c r="FX24">
        <f>FX26</f>
        <v>0.25</v>
      </c>
      <c r="GL24" t="s">
        <v>54</v>
      </c>
      <c r="GM24">
        <f>GM26</f>
        <v>0.25</v>
      </c>
      <c r="HA24" t="s">
        <v>54</v>
      </c>
      <c r="HB24">
        <f>HB26</f>
        <v>0.25</v>
      </c>
      <c r="HD24" s="304">
        <f>(HE26*HE33*HE38*HE32*10^-3*HE31*HE27)/(HE30*HE41*(1-EXP(-HE27*HE31)))</f>
        <v>5.9471793109789534E-5</v>
      </c>
      <c r="HE24" s="305"/>
      <c r="HF24" s="306" t="s">
        <v>43</v>
      </c>
    </row>
    <row r="25" spans="1:214" ht="14.25" thickTop="1" thickBot="1" x14ac:dyDescent="0.25">
      <c r="A25" t="s">
        <v>444</v>
      </c>
      <c r="B25" s="410">
        <v>3.7100000000000001E-2</v>
      </c>
      <c r="C25" t="s">
        <v>449</v>
      </c>
      <c r="D25" t="s">
        <v>226</v>
      </c>
      <c r="E25">
        <v>350</v>
      </c>
      <c r="F25" t="s">
        <v>52</v>
      </c>
      <c r="G25" t="s">
        <v>372</v>
      </c>
      <c r="H25" s="427">
        <f>(H29*H32*H26*H70)+(H30*H33*H27*H71)</f>
        <v>8513.0769230769238</v>
      </c>
      <c r="I25" t="s">
        <v>213</v>
      </c>
      <c r="J25" t="s">
        <v>373</v>
      </c>
      <c r="K25" s="427">
        <f>(K31*K35*K26*K53)+(K32*K34*K27*K54)</f>
        <v>16326.153846153848</v>
      </c>
      <c r="L25" t="s">
        <v>213</v>
      </c>
      <c r="M25" t="s">
        <v>411</v>
      </c>
      <c r="N25" s="1">
        <f>B29</f>
        <v>432</v>
      </c>
      <c r="O25" t="s">
        <v>119</v>
      </c>
      <c r="P25" t="s">
        <v>411</v>
      </c>
      <c r="Q25" s="1">
        <f>B29</f>
        <v>432</v>
      </c>
      <c r="R25" t="s">
        <v>119</v>
      </c>
      <c r="V25" s="130" t="s">
        <v>36</v>
      </c>
      <c r="W25" s="96">
        <f>1/((1/W37)+(1/W38))</f>
        <v>1.2903225507295965E-3</v>
      </c>
      <c r="X25" s="128"/>
      <c r="Y25" s="251" t="s">
        <v>36</v>
      </c>
      <c r="Z25" s="129">
        <f>1/((1/Z39)+(1/Z40))</f>
        <v>1.2903225806379516E-3</v>
      </c>
      <c r="AA25" s="97"/>
      <c r="AC25" s="1"/>
      <c r="AD25" s="1"/>
      <c r="AE25" s="1"/>
      <c r="AI25" t="s">
        <v>411</v>
      </c>
      <c r="AJ25" s="1">
        <f>B29</f>
        <v>432</v>
      </c>
      <c r="AK25" t="s">
        <v>119</v>
      </c>
      <c r="AL25" t="s">
        <v>411</v>
      </c>
      <c r="AM25" s="1">
        <f>B29</f>
        <v>432</v>
      </c>
      <c r="AN25" t="s">
        <v>119</v>
      </c>
      <c r="AR25" t="s">
        <v>411</v>
      </c>
      <c r="AS25" s="1">
        <f>B29</f>
        <v>432</v>
      </c>
      <c r="AT25" t="s">
        <v>119</v>
      </c>
      <c r="AU25" t="s">
        <v>411</v>
      </c>
      <c r="AV25" s="1">
        <f>B29</f>
        <v>432</v>
      </c>
      <c r="AW25" t="s">
        <v>119</v>
      </c>
      <c r="BA25" t="s">
        <v>411</v>
      </c>
      <c r="BB25" s="1">
        <f>B29</f>
        <v>432</v>
      </c>
      <c r="BC25" t="s">
        <v>119</v>
      </c>
      <c r="BD25" t="s">
        <v>411</v>
      </c>
      <c r="BE25" s="1">
        <f>B29</f>
        <v>432</v>
      </c>
      <c r="BF25" t="s">
        <v>119</v>
      </c>
      <c r="BJ25" t="s">
        <v>411</v>
      </c>
      <c r="BK25" s="1">
        <f>B29</f>
        <v>432</v>
      </c>
      <c r="BL25" t="s">
        <v>119</v>
      </c>
      <c r="BM25" t="s">
        <v>411</v>
      </c>
      <c r="BN25" s="1">
        <f>B29</f>
        <v>432</v>
      </c>
      <c r="BO25" t="s">
        <v>119</v>
      </c>
      <c r="BS25" t="s">
        <v>225</v>
      </c>
      <c r="BT25">
        <v>75</v>
      </c>
      <c r="BU25" t="s">
        <v>52</v>
      </c>
      <c r="BV25" t="s">
        <v>400</v>
      </c>
      <c r="BW25">
        <v>1</v>
      </c>
      <c r="BX25" t="s">
        <v>80</v>
      </c>
      <c r="BY25" t="s">
        <v>99</v>
      </c>
      <c r="BZ25">
        <v>1</v>
      </c>
      <c r="CA25" t="s">
        <v>119</v>
      </c>
      <c r="CB25" t="s">
        <v>65</v>
      </c>
      <c r="CC25">
        <v>1</v>
      </c>
      <c r="CD25" t="s">
        <v>59</v>
      </c>
      <c r="CE25" t="s">
        <v>65</v>
      </c>
      <c r="CF25">
        <v>1</v>
      </c>
      <c r="CG25" t="s">
        <v>59</v>
      </c>
      <c r="CN25" t="s">
        <v>309</v>
      </c>
      <c r="CO25" s="17">
        <v>1</v>
      </c>
      <c r="CP25" t="s">
        <v>431</v>
      </c>
      <c r="CT25" t="s">
        <v>82</v>
      </c>
      <c r="CU25" s="428">
        <f>(CU27*CU31*CU35*CU49)+(CU28*CU32*CU34*CU50)</f>
        <v>40250</v>
      </c>
      <c r="CV25" t="s">
        <v>406</v>
      </c>
      <c r="CW25" t="s">
        <v>226</v>
      </c>
      <c r="CX25">
        <v>350</v>
      </c>
      <c r="CY25" t="s">
        <v>52</v>
      </c>
      <c r="CZ25" t="s">
        <v>77</v>
      </c>
      <c r="DA25" s="427">
        <f>(DA35*DA37*DA29*(DA40/24)*DA51)+(DA36*DA38*DA30*(DA41/24)*DA52)</f>
        <v>6475</v>
      </c>
      <c r="DB25" t="s">
        <v>407</v>
      </c>
      <c r="DO25" t="s">
        <v>63</v>
      </c>
      <c r="DP25">
        <f>B40</f>
        <v>5.0000000000000002E-5</v>
      </c>
      <c r="ED25" t="s">
        <v>64</v>
      </c>
      <c r="EE25">
        <f>B41</f>
        <v>6.0000000000000001E-3</v>
      </c>
      <c r="ES25" t="s">
        <v>64</v>
      </c>
      <c r="ET25">
        <f>B41</f>
        <v>6.0000000000000001E-3</v>
      </c>
      <c r="FH25" t="s">
        <v>64</v>
      </c>
      <c r="FI25">
        <v>5.0000000000000001E-3</v>
      </c>
      <c r="FW25" t="s">
        <v>64</v>
      </c>
      <c r="FX25">
        <v>0.2</v>
      </c>
      <c r="GL25" t="s">
        <v>64</v>
      </c>
      <c r="GM25">
        <v>5.0000000000000001E-3</v>
      </c>
      <c r="HA25" t="s">
        <v>64</v>
      </c>
      <c r="HB25">
        <v>5.0000000000000001E-3</v>
      </c>
      <c r="HD25" s="2" t="s">
        <v>48</v>
      </c>
      <c r="HE25" s="1">
        <v>15</v>
      </c>
      <c r="HF25" t="s">
        <v>24</v>
      </c>
    </row>
    <row r="26" spans="1:214" ht="13.5" thickTop="1" x14ac:dyDescent="0.2">
      <c r="A26" t="s">
        <v>445</v>
      </c>
      <c r="B26" s="410">
        <v>7.8700000000000002E-5</v>
      </c>
      <c r="C26" t="s">
        <v>449</v>
      </c>
      <c r="D26" t="s">
        <v>435</v>
      </c>
      <c r="E26" s="1">
        <f>B59</f>
        <v>0.23076923076923078</v>
      </c>
      <c r="G26" t="s">
        <v>370</v>
      </c>
      <c r="H26" s="1">
        <f>B54</f>
        <v>10.4</v>
      </c>
      <c r="I26" t="s">
        <v>380</v>
      </c>
      <c r="J26" t="s">
        <v>374</v>
      </c>
      <c r="K26" s="1">
        <f>B52</f>
        <v>14.8</v>
      </c>
      <c r="L26" t="s">
        <v>380</v>
      </c>
      <c r="M26" t="s">
        <v>51</v>
      </c>
      <c r="N26">
        <v>350</v>
      </c>
      <c r="O26" t="s">
        <v>60</v>
      </c>
      <c r="P26" t="s">
        <v>51</v>
      </c>
      <c r="Q26">
        <v>350</v>
      </c>
      <c r="R26" t="s">
        <v>60</v>
      </c>
      <c r="V26" t="s">
        <v>458</v>
      </c>
      <c r="W26" s="1">
        <v>1</v>
      </c>
      <c r="X26" t="s">
        <v>459</v>
      </c>
      <c r="Y26" t="s">
        <v>458</v>
      </c>
      <c r="Z26" s="1">
        <v>1</v>
      </c>
      <c r="AA26" t="s">
        <v>459</v>
      </c>
      <c r="AC26" s="1"/>
      <c r="AD26" s="1"/>
      <c r="AE26" s="1"/>
      <c r="AI26" t="s">
        <v>51</v>
      </c>
      <c r="AJ26">
        <v>250</v>
      </c>
      <c r="AK26" t="s">
        <v>60</v>
      </c>
      <c r="AL26" t="s">
        <v>51</v>
      </c>
      <c r="AM26">
        <v>250</v>
      </c>
      <c r="AN26" t="s">
        <v>60</v>
      </c>
      <c r="AR26" t="s">
        <v>51</v>
      </c>
      <c r="AS26">
        <v>225</v>
      </c>
      <c r="AT26" t="s">
        <v>60</v>
      </c>
      <c r="AU26" t="s">
        <v>51</v>
      </c>
      <c r="AV26">
        <v>225</v>
      </c>
      <c r="AW26" t="s">
        <v>60</v>
      </c>
      <c r="BA26" t="s">
        <v>51</v>
      </c>
      <c r="BB26">
        <v>250</v>
      </c>
      <c r="BC26" t="s">
        <v>60</v>
      </c>
      <c r="BD26" t="s">
        <v>51</v>
      </c>
      <c r="BE26">
        <v>250</v>
      </c>
      <c r="BF26" t="s">
        <v>60</v>
      </c>
      <c r="BJ26" t="s">
        <v>51</v>
      </c>
      <c r="BK26">
        <f>BK27*BK28</f>
        <v>250</v>
      </c>
      <c r="BL26" t="s">
        <v>60</v>
      </c>
      <c r="BM26" t="s">
        <v>51</v>
      </c>
      <c r="BN26">
        <f>BN27*BN28</f>
        <v>250</v>
      </c>
      <c r="BO26" t="s">
        <v>60</v>
      </c>
      <c r="BS26" t="s">
        <v>226</v>
      </c>
      <c r="BT26">
        <v>75</v>
      </c>
      <c r="BU26" t="s">
        <v>52</v>
      </c>
      <c r="BV26" t="s">
        <v>151</v>
      </c>
      <c r="BW26">
        <v>1</v>
      </c>
      <c r="BX26" t="s">
        <v>152</v>
      </c>
      <c r="BY26" t="s">
        <v>98</v>
      </c>
      <c r="BZ26">
        <v>1</v>
      </c>
      <c r="CA26" t="s">
        <v>119</v>
      </c>
      <c r="CB26" t="s">
        <v>463</v>
      </c>
      <c r="CC26" s="1">
        <f>B11</f>
        <v>1.5699999999999999E-5</v>
      </c>
      <c r="CE26" t="s">
        <v>463</v>
      </c>
      <c r="CF26" s="1">
        <f>B7</f>
        <v>1.35E-4</v>
      </c>
      <c r="CN26" t="s">
        <v>312</v>
      </c>
      <c r="CO26" s="17">
        <v>1</v>
      </c>
      <c r="CP26" t="s">
        <v>431</v>
      </c>
      <c r="CT26" t="s">
        <v>77</v>
      </c>
      <c r="CU26" s="428">
        <f>((CU35*CU31*CU29*CU49)+(CU34*CU32*CU30*CU50))</f>
        <v>6475</v>
      </c>
      <c r="CV26" t="s">
        <v>407</v>
      </c>
      <c r="CW26" t="s">
        <v>433</v>
      </c>
      <c r="CX26" s="1">
        <f>B61</f>
        <v>0.15</v>
      </c>
      <c r="CZ26" t="s">
        <v>240</v>
      </c>
      <c r="DA26" s="427">
        <f>(DA35*DA37*DA42*DA44*DA51)+(DA36*DA38*DA43*DA45*DA52)</f>
        <v>239.57499999999999</v>
      </c>
      <c r="DB26" t="s">
        <v>408</v>
      </c>
      <c r="DF26" t="s">
        <v>64</v>
      </c>
      <c r="DG26">
        <f>B41</f>
        <v>6.0000000000000001E-3</v>
      </c>
      <c r="DO26" t="s">
        <v>70</v>
      </c>
      <c r="DP26">
        <v>0.26</v>
      </c>
      <c r="ED26" t="s">
        <v>70</v>
      </c>
      <c r="EE26">
        <v>0.25</v>
      </c>
      <c r="EJ26" t="s">
        <v>64</v>
      </c>
      <c r="EK26">
        <v>0.04</v>
      </c>
      <c r="ES26" t="s">
        <v>70</v>
      </c>
      <c r="ET26">
        <v>0.25</v>
      </c>
      <c r="FH26" t="s">
        <v>290</v>
      </c>
      <c r="FI26">
        <v>0.25</v>
      </c>
      <c r="FW26" t="s">
        <v>285</v>
      </c>
      <c r="FX26">
        <v>0.25</v>
      </c>
      <c r="GL26" t="s">
        <v>279</v>
      </c>
      <c r="GM26">
        <v>0.25</v>
      </c>
      <c r="HA26" t="s">
        <v>284</v>
      </c>
      <c r="HB26">
        <v>0.25</v>
      </c>
      <c r="HD26" t="s">
        <v>456</v>
      </c>
      <c r="HE26" s="1">
        <f>H3</f>
        <v>2.0811349855962289E-3</v>
      </c>
      <c r="HF26" t="s">
        <v>24</v>
      </c>
    </row>
    <row r="27" spans="1:214" ht="12.75" customHeight="1" x14ac:dyDescent="0.2">
      <c r="A27" t="s">
        <v>446</v>
      </c>
      <c r="B27" s="410">
        <v>1.8E-7</v>
      </c>
      <c r="C27" t="s">
        <v>448</v>
      </c>
      <c r="D27" t="s">
        <v>434</v>
      </c>
      <c r="E27" s="1">
        <f>B60</f>
        <v>0.76923076923076927</v>
      </c>
      <c r="G27" t="s">
        <v>371</v>
      </c>
      <c r="H27" s="1">
        <f>B55</f>
        <v>28.5</v>
      </c>
      <c r="I27" t="s">
        <v>380</v>
      </c>
      <c r="J27" t="s">
        <v>375</v>
      </c>
      <c r="K27" s="1">
        <f>B53</f>
        <v>56.2</v>
      </c>
      <c r="L27" t="s">
        <v>380</v>
      </c>
      <c r="M27" t="s">
        <v>65</v>
      </c>
      <c r="N27">
        <v>1</v>
      </c>
      <c r="O27" t="s">
        <v>59</v>
      </c>
      <c r="P27" t="s">
        <v>65</v>
      </c>
      <c r="Q27">
        <v>1</v>
      </c>
      <c r="R27" t="s">
        <v>59</v>
      </c>
      <c r="V27" t="s">
        <v>49</v>
      </c>
      <c r="W27" s="1">
        <f>0.693/W28</f>
        <v>1.6041666666666665E-3</v>
      </c>
      <c r="Y27" t="s">
        <v>49</v>
      </c>
      <c r="Z27" s="1">
        <f>0.693/Z28</f>
        <v>1.6041666666666665E-3</v>
      </c>
      <c r="AB27" t="s">
        <v>65</v>
      </c>
      <c r="AC27">
        <v>25</v>
      </c>
      <c r="AD27">
        <v>25</v>
      </c>
      <c r="AE27">
        <v>25</v>
      </c>
      <c r="AF27">
        <v>1</v>
      </c>
      <c r="AG27">
        <v>1</v>
      </c>
      <c r="AH27" t="s">
        <v>119</v>
      </c>
      <c r="AI27" t="s">
        <v>65</v>
      </c>
      <c r="AJ27">
        <v>1</v>
      </c>
      <c r="AK27" t="s">
        <v>59</v>
      </c>
      <c r="AL27" t="s">
        <v>65</v>
      </c>
      <c r="AM27">
        <v>1</v>
      </c>
      <c r="AN27" t="s">
        <v>59</v>
      </c>
      <c r="AR27" t="s">
        <v>65</v>
      </c>
      <c r="AS27">
        <v>1</v>
      </c>
      <c r="AT27" t="s">
        <v>59</v>
      </c>
      <c r="AU27" t="s">
        <v>65</v>
      </c>
      <c r="AV27">
        <v>1</v>
      </c>
      <c r="AW27" t="s">
        <v>59</v>
      </c>
      <c r="BA27" t="s">
        <v>65</v>
      </c>
      <c r="BB27">
        <v>1</v>
      </c>
      <c r="BC27" t="s">
        <v>59</v>
      </c>
      <c r="BD27" t="s">
        <v>65</v>
      </c>
      <c r="BE27">
        <v>1</v>
      </c>
      <c r="BF27" t="s">
        <v>59</v>
      </c>
      <c r="BJ27" t="s">
        <v>378</v>
      </c>
      <c r="BK27">
        <v>50</v>
      </c>
      <c r="BL27" t="s">
        <v>389</v>
      </c>
      <c r="BM27" t="s">
        <v>378</v>
      </c>
      <c r="BN27">
        <v>50</v>
      </c>
      <c r="BO27" t="s">
        <v>389</v>
      </c>
      <c r="BS27" t="s">
        <v>221</v>
      </c>
      <c r="BT27">
        <v>75</v>
      </c>
      <c r="BU27" t="s">
        <v>52</v>
      </c>
      <c r="BV27" t="s">
        <v>153</v>
      </c>
      <c r="BW27">
        <v>1</v>
      </c>
      <c r="BX27" t="s">
        <v>152</v>
      </c>
      <c r="BY27" t="s">
        <v>83</v>
      </c>
      <c r="BZ27">
        <v>1</v>
      </c>
      <c r="CA27" t="s">
        <v>119</v>
      </c>
      <c r="CB27" t="s">
        <v>105</v>
      </c>
      <c r="CC27" s="1">
        <f>B12</f>
        <v>0.80900000000000005</v>
      </c>
      <c r="CE27" t="s">
        <v>105</v>
      </c>
      <c r="CF27" s="1">
        <f>B8</f>
        <v>0.71099999999999997</v>
      </c>
      <c r="CN27" t="s">
        <v>313</v>
      </c>
      <c r="CO27" s="17">
        <v>1</v>
      </c>
      <c r="CP27" t="s">
        <v>75</v>
      </c>
      <c r="CT27" t="s">
        <v>108</v>
      </c>
      <c r="CU27">
        <f>B48</f>
        <v>200</v>
      </c>
      <c r="CV27" t="s">
        <v>90</v>
      </c>
      <c r="CW27" t="s">
        <v>432</v>
      </c>
      <c r="CX27" s="1">
        <f>B62</f>
        <v>0.85</v>
      </c>
      <c r="CZ27" t="s">
        <v>97</v>
      </c>
      <c r="DA27">
        <f>B50</f>
        <v>0.78</v>
      </c>
      <c r="DB27" t="s">
        <v>56</v>
      </c>
      <c r="EB27" s="1"/>
      <c r="ED27" t="s">
        <v>317</v>
      </c>
      <c r="EE27" s="1">
        <f>B35</f>
        <v>1.9999999999999999E-6</v>
      </c>
      <c r="EQ27" s="1"/>
      <c r="ES27" t="s">
        <v>318</v>
      </c>
      <c r="ET27" s="1">
        <f>B36</f>
        <v>5.0000000000000002E-5</v>
      </c>
      <c r="FH27" t="s">
        <v>319</v>
      </c>
      <c r="FI27" s="406">
        <f>B38</f>
        <v>4.0000000000000001E-3</v>
      </c>
      <c r="FW27" t="s">
        <v>320</v>
      </c>
      <c r="FX27" s="17">
        <v>1</v>
      </c>
      <c r="GL27" t="s">
        <v>321</v>
      </c>
      <c r="GM27" s="406">
        <f>B37</f>
        <v>6.0000000000000001E-3</v>
      </c>
      <c r="HA27" t="s">
        <v>322</v>
      </c>
      <c r="HB27" s="406">
        <f>B39</f>
        <v>1.7000000000000001E-4</v>
      </c>
      <c r="HD27" t="s">
        <v>49</v>
      </c>
      <c r="HE27" s="1">
        <f>0.693/HE28</f>
        <v>1.6041666666666665E-3</v>
      </c>
    </row>
    <row r="28" spans="1:214" ht="15" thickBot="1" x14ac:dyDescent="0.25">
      <c r="A28" t="s">
        <v>447</v>
      </c>
      <c r="B28" s="410">
        <v>7.3999999999999999E-4</v>
      </c>
      <c r="C28" t="s">
        <v>448</v>
      </c>
      <c r="G28" t="s">
        <v>131</v>
      </c>
      <c r="H28">
        <v>0.5</v>
      </c>
      <c r="I28" t="s">
        <v>132</v>
      </c>
      <c r="J28" t="s">
        <v>372</v>
      </c>
      <c r="K28" s="427">
        <f>(K31*K35*K29*K53)+(K32*K34*K30*K54)</f>
        <v>8513.0769230769238</v>
      </c>
      <c r="L28" t="s">
        <v>213</v>
      </c>
      <c r="M28" t="s">
        <v>462</v>
      </c>
      <c r="N28">
        <v>0.4</v>
      </c>
      <c r="P28" t="s">
        <v>462</v>
      </c>
      <c r="Q28">
        <v>0.4</v>
      </c>
      <c r="V28" t="s">
        <v>411</v>
      </c>
      <c r="W28" s="1">
        <f>B29</f>
        <v>432</v>
      </c>
      <c r="X28" t="s">
        <v>119</v>
      </c>
      <c r="Y28" t="s">
        <v>411</v>
      </c>
      <c r="Z28" s="1">
        <f>B29</f>
        <v>432</v>
      </c>
      <c r="AA28" t="s">
        <v>119</v>
      </c>
      <c r="AB28" t="s">
        <v>155</v>
      </c>
      <c r="AC28" s="1">
        <f t="shared" ref="AC28:AF29" si="0">8/24</f>
        <v>0.33333333333333331</v>
      </c>
      <c r="AD28" s="1">
        <f t="shared" si="0"/>
        <v>0.33333333333333331</v>
      </c>
      <c r="AE28" s="1">
        <f t="shared" si="0"/>
        <v>0.33333333333333331</v>
      </c>
      <c r="AF28" s="1">
        <f t="shared" si="0"/>
        <v>0.33333333333333331</v>
      </c>
      <c r="AG28" s="1">
        <f>8/24</f>
        <v>0.33333333333333331</v>
      </c>
      <c r="AI28" t="s">
        <v>462</v>
      </c>
      <c r="AJ28">
        <v>0.4</v>
      </c>
      <c r="AL28" t="s">
        <v>462</v>
      </c>
      <c r="AM28">
        <v>0.4</v>
      </c>
      <c r="AR28" t="s">
        <v>462</v>
      </c>
      <c r="AS28">
        <v>0.4</v>
      </c>
      <c r="BA28" t="s">
        <v>462</v>
      </c>
      <c r="BB28">
        <v>0.4</v>
      </c>
      <c r="BJ28" t="s">
        <v>377</v>
      </c>
      <c r="BK28">
        <v>5</v>
      </c>
      <c r="BL28" t="s">
        <v>390</v>
      </c>
      <c r="BM28" t="s">
        <v>377</v>
      </c>
      <c r="BN28">
        <v>5</v>
      </c>
      <c r="BO28" t="s">
        <v>390</v>
      </c>
      <c r="BS28" t="s">
        <v>174</v>
      </c>
      <c r="BT28">
        <v>26</v>
      </c>
      <c r="BU28" t="s">
        <v>119</v>
      </c>
      <c r="BW28">
        <f>1/1000</f>
        <v>1E-3</v>
      </c>
      <c r="BX28" t="s">
        <v>154</v>
      </c>
      <c r="BY28" t="s">
        <v>166</v>
      </c>
      <c r="BZ28">
        <v>1</v>
      </c>
      <c r="CA28" t="s">
        <v>80</v>
      </c>
      <c r="CB28" t="s">
        <v>166</v>
      </c>
      <c r="CC28">
        <v>1</v>
      </c>
      <c r="CD28" t="s">
        <v>117</v>
      </c>
      <c r="CE28" t="s">
        <v>166</v>
      </c>
      <c r="CF28">
        <v>1</v>
      </c>
      <c r="CG28" t="s">
        <v>117</v>
      </c>
      <c r="CN28" t="s">
        <v>314</v>
      </c>
      <c r="CO28" s="17">
        <v>1</v>
      </c>
      <c r="CP28" t="s">
        <v>75</v>
      </c>
      <c r="CT28" t="s">
        <v>127</v>
      </c>
      <c r="CU28">
        <f>B49</f>
        <v>100</v>
      </c>
      <c r="CV28" t="s">
        <v>90</v>
      </c>
      <c r="CZ28" t="s">
        <v>123</v>
      </c>
      <c r="DA28">
        <f>B51</f>
        <v>2.5</v>
      </c>
      <c r="DB28" t="s">
        <v>56</v>
      </c>
      <c r="FW28" t="s">
        <v>186</v>
      </c>
      <c r="FX28" s="1">
        <v>30</v>
      </c>
      <c r="HD28" t="s">
        <v>411</v>
      </c>
      <c r="HE28" s="1">
        <f>B29</f>
        <v>432</v>
      </c>
      <c r="HF28" t="s">
        <v>119</v>
      </c>
    </row>
    <row r="29" spans="1:214" ht="15.75" thickTop="1" x14ac:dyDescent="0.2">
      <c r="A29" t="s">
        <v>411</v>
      </c>
      <c r="B29" s="410">
        <v>432</v>
      </c>
      <c r="C29" t="s">
        <v>417</v>
      </c>
      <c r="D29" s="103" t="s">
        <v>3</v>
      </c>
      <c r="E29" s="104"/>
      <c r="F29" s="105" t="s">
        <v>0</v>
      </c>
      <c r="G29" t="s">
        <v>67</v>
      </c>
      <c r="H29">
        <v>350</v>
      </c>
      <c r="I29" t="s">
        <v>52</v>
      </c>
      <c r="J29" t="s">
        <v>370</v>
      </c>
      <c r="K29" s="1">
        <f>B54</f>
        <v>10.4</v>
      </c>
      <c r="L29" t="s">
        <v>380</v>
      </c>
      <c r="M29" t="s">
        <v>463</v>
      </c>
      <c r="N29" s="1">
        <f>B11</f>
        <v>1.5699999999999999E-5</v>
      </c>
      <c r="P29" t="s">
        <v>463</v>
      </c>
      <c r="Q29" s="1">
        <f>B7</f>
        <v>1.35E-4</v>
      </c>
      <c r="V29" t="s">
        <v>51</v>
      </c>
      <c r="W29">
        <v>250</v>
      </c>
      <c r="X29" t="s">
        <v>60</v>
      </c>
      <c r="Y29" t="s">
        <v>51</v>
      </c>
      <c r="Z29">
        <f>Z41*Z42</f>
        <v>250</v>
      </c>
      <c r="AA29" t="s">
        <v>60</v>
      </c>
      <c r="AB29" t="s">
        <v>158</v>
      </c>
      <c r="AC29" s="1">
        <f t="shared" si="0"/>
        <v>0.33333333333333331</v>
      </c>
      <c r="AD29" s="1">
        <f t="shared" si="0"/>
        <v>0.33333333333333331</v>
      </c>
      <c r="AE29" s="1">
        <f t="shared" si="0"/>
        <v>0.33333333333333331</v>
      </c>
      <c r="AF29" s="1">
        <f t="shared" si="0"/>
        <v>0.33333333333333331</v>
      </c>
      <c r="AG29" s="1">
        <f>8/24</f>
        <v>0.33333333333333331</v>
      </c>
      <c r="AI29" t="s">
        <v>463</v>
      </c>
      <c r="AJ29" s="1">
        <f>B11</f>
        <v>1.5699999999999999E-5</v>
      </c>
      <c r="AL29" t="s">
        <v>463</v>
      </c>
      <c r="AM29" s="1">
        <f>B7</f>
        <v>1.35E-4</v>
      </c>
      <c r="AR29" t="s">
        <v>463</v>
      </c>
      <c r="AS29" s="1">
        <f>B11</f>
        <v>1.5699999999999999E-5</v>
      </c>
      <c r="AU29" t="s">
        <v>463</v>
      </c>
      <c r="AV29" s="1">
        <f>B7</f>
        <v>1.35E-4</v>
      </c>
      <c r="BA29" t="s">
        <v>463</v>
      </c>
      <c r="BB29" s="1">
        <f>B11</f>
        <v>1.5699999999999999E-5</v>
      </c>
      <c r="BD29" t="s">
        <v>463</v>
      </c>
      <c r="BE29" s="1">
        <f>B7</f>
        <v>1.35E-4</v>
      </c>
      <c r="BJ29" t="s">
        <v>65</v>
      </c>
      <c r="BK29">
        <v>1</v>
      </c>
      <c r="BL29" t="s">
        <v>59</v>
      </c>
      <c r="BM29" t="s">
        <v>65</v>
      </c>
      <c r="BN29">
        <v>1</v>
      </c>
      <c r="BO29" t="s">
        <v>59</v>
      </c>
      <c r="BS29" t="s">
        <v>435</v>
      </c>
      <c r="BT29">
        <f>BT14/BT16</f>
        <v>1</v>
      </c>
      <c r="BU29" s="2"/>
      <c r="BW29">
        <v>1000</v>
      </c>
      <c r="BX29" t="s">
        <v>157</v>
      </c>
      <c r="BY29" t="s">
        <v>238</v>
      </c>
      <c r="BZ29">
        <v>1</v>
      </c>
      <c r="CA29" t="s">
        <v>80</v>
      </c>
      <c r="CB29" t="s">
        <v>460</v>
      </c>
      <c r="CC29" s="1">
        <f>B22</f>
        <v>2.7199999999999998E-2</v>
      </c>
      <c r="CD29" t="s">
        <v>121</v>
      </c>
      <c r="CE29" t="s">
        <v>460</v>
      </c>
      <c r="CF29" s="1">
        <f>B24</f>
        <v>3.4500000000000003E-2</v>
      </c>
      <c r="CG29" t="s">
        <v>121</v>
      </c>
      <c r="CT29" t="s">
        <v>223</v>
      </c>
      <c r="CU29">
        <f>B45</f>
        <v>10</v>
      </c>
      <c r="CV29" t="s">
        <v>78</v>
      </c>
      <c r="CZ29" t="s">
        <v>223</v>
      </c>
      <c r="DA29">
        <f>B45</f>
        <v>10</v>
      </c>
      <c r="DB29" t="s">
        <v>241</v>
      </c>
      <c r="FW29" t="s">
        <v>296</v>
      </c>
      <c r="FX29" s="1">
        <v>8.1999999999999993</v>
      </c>
      <c r="HD29" t="s">
        <v>156</v>
      </c>
      <c r="HE29">
        <v>0.3</v>
      </c>
    </row>
    <row r="30" spans="1:214" ht="15" x14ac:dyDescent="0.2">
      <c r="A30" t="s">
        <v>148</v>
      </c>
      <c r="B30" s="410">
        <f>PEF!D3</f>
        <v>1359344473.5814338</v>
      </c>
      <c r="D30" s="106" t="s">
        <v>150</v>
      </c>
      <c r="E30" s="107" t="s">
        <v>456</v>
      </c>
      <c r="F30" s="108" t="s">
        <v>22</v>
      </c>
      <c r="G30" t="s">
        <v>73</v>
      </c>
      <c r="H30">
        <v>350</v>
      </c>
      <c r="I30" t="s">
        <v>52</v>
      </c>
      <c r="J30" t="s">
        <v>371</v>
      </c>
      <c r="K30" s="1">
        <f>B55</f>
        <v>28.5</v>
      </c>
      <c r="L30" t="s">
        <v>380</v>
      </c>
      <c r="M30" t="s">
        <v>105</v>
      </c>
      <c r="N30" s="1">
        <f>B12</f>
        <v>0.80900000000000005</v>
      </c>
      <c r="P30" t="s">
        <v>105</v>
      </c>
      <c r="Q30" s="1">
        <f>B8</f>
        <v>0.71099999999999997</v>
      </c>
      <c r="V30" t="s">
        <v>65</v>
      </c>
      <c r="W30">
        <v>1</v>
      </c>
      <c r="X30" t="s">
        <v>59</v>
      </c>
      <c r="Y30" t="s">
        <v>65</v>
      </c>
      <c r="Z30">
        <v>1</v>
      </c>
      <c r="AA30" t="s">
        <v>59</v>
      </c>
      <c r="AB30" t="s">
        <v>161</v>
      </c>
      <c r="AC30">
        <v>0.4</v>
      </c>
      <c r="AD30">
        <v>0.4</v>
      </c>
      <c r="AE30">
        <v>0.4</v>
      </c>
      <c r="AF30">
        <v>0.4</v>
      </c>
      <c r="AG30">
        <v>0.4</v>
      </c>
      <c r="AI30" t="s">
        <v>105</v>
      </c>
      <c r="AJ30" s="1">
        <f>B12</f>
        <v>0.80900000000000005</v>
      </c>
      <c r="AL30" t="s">
        <v>105</v>
      </c>
      <c r="AM30" s="1">
        <f>B8</f>
        <v>0.71099999999999997</v>
      </c>
      <c r="AR30" t="s">
        <v>105</v>
      </c>
      <c r="AS30" s="1">
        <f>B12</f>
        <v>0.80900000000000005</v>
      </c>
      <c r="AU30" t="s">
        <v>105</v>
      </c>
      <c r="AV30" s="1">
        <f>B8</f>
        <v>0.71099999999999997</v>
      </c>
      <c r="BA30" t="s">
        <v>105</v>
      </c>
      <c r="BB30" s="1">
        <f>B12</f>
        <v>0.80900000000000005</v>
      </c>
      <c r="BD30" t="s">
        <v>105</v>
      </c>
      <c r="BE30" s="1">
        <f>B8</f>
        <v>0.71099999999999997</v>
      </c>
      <c r="BS30" t="s">
        <v>434</v>
      </c>
      <c r="BT30">
        <f>BT15/BT16</f>
        <v>1</v>
      </c>
      <c r="BW30">
        <v>1000</v>
      </c>
      <c r="BX30" t="s">
        <v>376</v>
      </c>
      <c r="BY30" t="s">
        <v>239</v>
      </c>
      <c r="BZ30">
        <v>1</v>
      </c>
      <c r="CA30" t="s">
        <v>80</v>
      </c>
      <c r="CT30" t="s">
        <v>224</v>
      </c>
      <c r="CU30">
        <f>B46</f>
        <v>20</v>
      </c>
      <c r="CV30" t="s">
        <v>78</v>
      </c>
      <c r="CZ30" t="s">
        <v>224</v>
      </c>
      <c r="DA30">
        <f>B46</f>
        <v>20</v>
      </c>
      <c r="DB30" t="s">
        <v>241</v>
      </c>
      <c r="FX30">
        <v>1000</v>
      </c>
      <c r="FY30" t="s">
        <v>213</v>
      </c>
      <c r="HD30" t="s">
        <v>159</v>
      </c>
      <c r="HE30" s="1">
        <v>1.5</v>
      </c>
    </row>
    <row r="31" spans="1:214" x14ac:dyDescent="0.2">
      <c r="A31" t="s">
        <v>184</v>
      </c>
      <c r="B31" s="410">
        <f>PEF!G3</f>
        <v>776129.4078035407</v>
      </c>
      <c r="D31" s="106" t="s">
        <v>150</v>
      </c>
      <c r="E31" s="109">
        <f>E38</f>
        <v>7.1500071500071496E-2</v>
      </c>
      <c r="F31" s="110"/>
      <c r="G31" t="s">
        <v>100</v>
      </c>
      <c r="H31">
        <v>1</v>
      </c>
      <c r="I31" t="s">
        <v>119</v>
      </c>
      <c r="J31" t="s">
        <v>67</v>
      </c>
      <c r="K31">
        <v>350</v>
      </c>
      <c r="L31" t="s">
        <v>52</v>
      </c>
      <c r="M31" t="s">
        <v>114</v>
      </c>
      <c r="N31">
        <v>7.2999999999999995E-2</v>
      </c>
      <c r="O31" t="s">
        <v>115</v>
      </c>
      <c r="P31" t="s">
        <v>114</v>
      </c>
      <c r="Q31">
        <v>7.2999999999999995E-2</v>
      </c>
      <c r="R31" t="s">
        <v>115</v>
      </c>
      <c r="V31" t="s">
        <v>436</v>
      </c>
      <c r="W31" s="1">
        <f>B17</f>
        <v>0.155</v>
      </c>
      <c r="X31" t="s">
        <v>72</v>
      </c>
      <c r="Y31" t="s">
        <v>436</v>
      </c>
      <c r="Z31" s="1">
        <f>B17</f>
        <v>0.155</v>
      </c>
      <c r="AA31" t="s">
        <v>72</v>
      </c>
      <c r="AB31" t="s">
        <v>144</v>
      </c>
      <c r="AC31">
        <v>25</v>
      </c>
      <c r="AD31">
        <v>25</v>
      </c>
      <c r="AE31">
        <v>25</v>
      </c>
      <c r="AF31">
        <v>1</v>
      </c>
      <c r="AG31">
        <v>1</v>
      </c>
      <c r="AH31" t="s">
        <v>88</v>
      </c>
      <c r="AI31" t="s">
        <v>114</v>
      </c>
      <c r="AJ31">
        <v>0</v>
      </c>
      <c r="AK31" t="s">
        <v>115</v>
      </c>
      <c r="AL31" t="s">
        <v>114</v>
      </c>
      <c r="AM31">
        <v>0</v>
      </c>
      <c r="AN31" t="s">
        <v>115</v>
      </c>
      <c r="AR31" t="s">
        <v>116</v>
      </c>
      <c r="AS31">
        <f>8/24</f>
        <v>0.33333333333333331</v>
      </c>
      <c r="AT31" t="s">
        <v>117</v>
      </c>
      <c r="AU31" t="s">
        <v>114</v>
      </c>
      <c r="AV31">
        <f>8/24</f>
        <v>0.33333333333333331</v>
      </c>
      <c r="AW31" t="s">
        <v>115</v>
      </c>
      <c r="BA31" t="s">
        <v>116</v>
      </c>
      <c r="BB31">
        <f>8/24</f>
        <v>0.33333333333333331</v>
      </c>
      <c r="BC31" t="s">
        <v>117</v>
      </c>
      <c r="BD31" t="s">
        <v>114</v>
      </c>
      <c r="BE31">
        <f>8/24</f>
        <v>0.33333333333333331</v>
      </c>
      <c r="BF31" t="s">
        <v>115</v>
      </c>
      <c r="BJ31" t="s">
        <v>463</v>
      </c>
      <c r="BK31" s="1">
        <f>B11</f>
        <v>1.5699999999999999E-5</v>
      </c>
      <c r="BM31" t="s">
        <v>463</v>
      </c>
      <c r="BN31" s="1">
        <f>B7</f>
        <v>1.35E-4</v>
      </c>
      <c r="BW31">
        <v>365</v>
      </c>
      <c r="BX31" t="s">
        <v>52</v>
      </c>
      <c r="BY31" t="s">
        <v>465</v>
      </c>
      <c r="BZ31" s="1">
        <f>B2</f>
        <v>2.41E-4</v>
      </c>
      <c r="CT31" t="s">
        <v>67</v>
      </c>
      <c r="CU31">
        <v>350</v>
      </c>
      <c r="CV31" t="s">
        <v>52</v>
      </c>
      <c r="CZ31" t="s">
        <v>242</v>
      </c>
      <c r="DA31" s="1">
        <f>B52</f>
        <v>14.8</v>
      </c>
      <c r="DB31" t="s">
        <v>380</v>
      </c>
      <c r="HD31" t="s">
        <v>58</v>
      </c>
      <c r="HE31">
        <v>26</v>
      </c>
    </row>
    <row r="32" spans="1:214" ht="13.5" thickBot="1" x14ac:dyDescent="0.25">
      <c r="A32" t="s">
        <v>185</v>
      </c>
      <c r="B32" s="410">
        <f>PEF!J3</f>
        <v>69557565.807898715</v>
      </c>
      <c r="D32" s="111"/>
      <c r="E32" s="112" t="s">
        <v>33</v>
      </c>
      <c r="F32" s="113"/>
      <c r="G32" t="s">
        <v>83</v>
      </c>
      <c r="H32">
        <v>1</v>
      </c>
      <c r="J32" t="s">
        <v>73</v>
      </c>
      <c r="K32">
        <v>350</v>
      </c>
      <c r="L32" t="s">
        <v>52</v>
      </c>
      <c r="M32" t="s">
        <v>460</v>
      </c>
      <c r="N32" s="1">
        <f>B22</f>
        <v>2.7199999999999998E-2</v>
      </c>
      <c r="O32" t="s">
        <v>121</v>
      </c>
      <c r="P32" t="s">
        <v>460</v>
      </c>
      <c r="Q32" s="1">
        <f>B24</f>
        <v>3.4500000000000003E-2</v>
      </c>
      <c r="R32" t="s">
        <v>121</v>
      </c>
      <c r="V32" t="s">
        <v>79</v>
      </c>
      <c r="W32">
        <v>8</v>
      </c>
      <c r="X32" t="s">
        <v>80</v>
      </c>
      <c r="Y32" t="s">
        <v>79</v>
      </c>
      <c r="Z32">
        <v>8</v>
      </c>
      <c r="AA32" t="s">
        <v>80</v>
      </c>
      <c r="AB32" t="s">
        <v>49</v>
      </c>
      <c r="AC32" s="1">
        <f>0.693/AC33</f>
        <v>1.6041666666666665E-3</v>
      </c>
      <c r="AD32" s="1">
        <f>0.693/AD33</f>
        <v>1.6041666666666665E-3</v>
      </c>
      <c r="AE32" s="1">
        <f>0.693/AE33</f>
        <v>1.6041666666666665E-3</v>
      </c>
      <c r="AF32" s="1">
        <f>0.693/AF33</f>
        <v>1.6041666666666665E-3</v>
      </c>
      <c r="AG32" s="1">
        <f>0.693/AG33</f>
        <v>1.6041666666666665E-3</v>
      </c>
      <c r="AI32" t="s">
        <v>460</v>
      </c>
      <c r="AJ32" s="1">
        <f>B22</f>
        <v>2.7199999999999998E-2</v>
      </c>
      <c r="AK32" t="s">
        <v>121</v>
      </c>
      <c r="AL32" t="s">
        <v>460</v>
      </c>
      <c r="AM32" s="1">
        <f>B24</f>
        <v>3.4500000000000003E-2</v>
      </c>
      <c r="AN32" t="s">
        <v>121</v>
      </c>
      <c r="AR32" t="s">
        <v>460</v>
      </c>
      <c r="AS32" s="1">
        <f>B22</f>
        <v>2.7199999999999998E-2</v>
      </c>
      <c r="AT32" t="s">
        <v>121</v>
      </c>
      <c r="AU32" t="s">
        <v>460</v>
      </c>
      <c r="AV32" s="1">
        <f>B24</f>
        <v>3.4500000000000003E-2</v>
      </c>
      <c r="AW32" t="s">
        <v>121</v>
      </c>
      <c r="BA32" t="s">
        <v>460</v>
      </c>
      <c r="BB32" s="1">
        <f>B22</f>
        <v>2.7199999999999998E-2</v>
      </c>
      <c r="BC32" t="s">
        <v>121</v>
      </c>
      <c r="BD32" t="s">
        <v>460</v>
      </c>
      <c r="BE32" s="1">
        <f>B24</f>
        <v>3.4500000000000003E-2</v>
      </c>
      <c r="BF32" t="s">
        <v>121</v>
      </c>
      <c r="BJ32" t="s">
        <v>105</v>
      </c>
      <c r="BK32" s="1">
        <f>B12</f>
        <v>0.80900000000000005</v>
      </c>
      <c r="BM32" t="s">
        <v>105</v>
      </c>
      <c r="BN32" s="1">
        <f>B8</f>
        <v>0.71099999999999997</v>
      </c>
      <c r="BT32" s="1"/>
      <c r="BW32">
        <v>8760</v>
      </c>
      <c r="BX32" t="s">
        <v>237</v>
      </c>
      <c r="BY32" t="s">
        <v>105</v>
      </c>
      <c r="BZ32" s="1">
        <f>B3</f>
        <v>0.753</v>
      </c>
      <c r="CT32" t="s">
        <v>73</v>
      </c>
      <c r="CU32">
        <v>350</v>
      </c>
      <c r="CV32" t="s">
        <v>52</v>
      </c>
      <c r="CZ32" t="s">
        <v>162</v>
      </c>
      <c r="DA32" s="1">
        <f>B53</f>
        <v>56.2</v>
      </c>
      <c r="DB32" t="s">
        <v>380</v>
      </c>
      <c r="DY32" s="413"/>
      <c r="HD32" t="s">
        <v>65</v>
      </c>
      <c r="HE32" s="1">
        <v>70</v>
      </c>
    </row>
    <row r="33" spans="1:214" ht="13.15" customHeight="1" thickTop="1" x14ac:dyDescent="0.2">
      <c r="A33" t="s">
        <v>411</v>
      </c>
      <c r="B33" s="410">
        <v>157680</v>
      </c>
      <c r="C33" t="s">
        <v>381</v>
      </c>
      <c r="D33" t="s">
        <v>485</v>
      </c>
      <c r="E33" s="1">
        <v>1</v>
      </c>
      <c r="G33" t="s">
        <v>98</v>
      </c>
      <c r="H33">
        <v>1</v>
      </c>
      <c r="J33" t="s">
        <v>100</v>
      </c>
      <c r="K33">
        <v>1</v>
      </c>
      <c r="L33" t="s">
        <v>119</v>
      </c>
      <c r="M33" t="s">
        <v>136</v>
      </c>
      <c r="N33">
        <v>0.68300000000000005</v>
      </c>
      <c r="O33" t="s">
        <v>115</v>
      </c>
      <c r="P33" t="s">
        <v>136</v>
      </c>
      <c r="Q33">
        <v>0.68300000000000005</v>
      </c>
      <c r="R33" t="s">
        <v>115</v>
      </c>
      <c r="W33">
        <v>24</v>
      </c>
      <c r="X33" t="s">
        <v>80</v>
      </c>
      <c r="Z33">
        <v>24</v>
      </c>
      <c r="AA33" t="s">
        <v>80</v>
      </c>
      <c r="AB33" t="s">
        <v>411</v>
      </c>
      <c r="AC33" s="1">
        <f>B29</f>
        <v>432</v>
      </c>
      <c r="AD33" s="1">
        <f>B29</f>
        <v>432</v>
      </c>
      <c r="AE33" s="1">
        <f>B29</f>
        <v>432</v>
      </c>
      <c r="AF33" s="1">
        <f>B29</f>
        <v>432</v>
      </c>
      <c r="AG33" s="1">
        <f>B29</f>
        <v>432</v>
      </c>
      <c r="AH33" t="s">
        <v>119</v>
      </c>
      <c r="AI33" t="s">
        <v>136</v>
      </c>
      <c r="AJ33">
        <f>8/24</f>
        <v>0.33333333333333331</v>
      </c>
      <c r="AK33" t="s">
        <v>115</v>
      </c>
      <c r="AL33" t="s">
        <v>136</v>
      </c>
      <c r="AM33">
        <f>8/24</f>
        <v>0.33333333333333331</v>
      </c>
      <c r="AN33" t="s">
        <v>115</v>
      </c>
      <c r="AR33" t="s">
        <v>136</v>
      </c>
      <c r="AS33">
        <v>0</v>
      </c>
      <c r="AT33" t="s">
        <v>115</v>
      </c>
      <c r="AU33" t="s">
        <v>136</v>
      </c>
      <c r="AV33">
        <v>0</v>
      </c>
      <c r="AW33" t="s">
        <v>115</v>
      </c>
      <c r="BA33" t="s">
        <v>136</v>
      </c>
      <c r="BB33">
        <v>0</v>
      </c>
      <c r="BC33" t="s">
        <v>115</v>
      </c>
      <c r="BD33" t="s">
        <v>136</v>
      </c>
      <c r="BE33">
        <v>0</v>
      </c>
      <c r="BF33" t="s">
        <v>115</v>
      </c>
      <c r="BJ33" t="s">
        <v>116</v>
      </c>
      <c r="BK33">
        <f>8/24</f>
        <v>0.33333333333333331</v>
      </c>
      <c r="BL33" t="s">
        <v>117</v>
      </c>
      <c r="BM33" t="s">
        <v>114</v>
      </c>
      <c r="BN33">
        <f>8/24</f>
        <v>0.33333333333333331</v>
      </c>
      <c r="BO33" t="s">
        <v>115</v>
      </c>
      <c r="BV33" t="s">
        <v>435</v>
      </c>
      <c r="BW33">
        <f>BW21/BW20</f>
        <v>1</v>
      </c>
      <c r="BY33" t="s">
        <v>174</v>
      </c>
      <c r="BZ33">
        <v>26</v>
      </c>
      <c r="CA33" t="s">
        <v>88</v>
      </c>
      <c r="CT33" t="s">
        <v>229</v>
      </c>
      <c r="CU33">
        <v>1</v>
      </c>
      <c r="CV33" t="s">
        <v>119</v>
      </c>
      <c r="CZ33" t="s">
        <v>243</v>
      </c>
      <c r="DA33" s="1">
        <f>B54</f>
        <v>10.4</v>
      </c>
      <c r="DB33" t="s">
        <v>380</v>
      </c>
      <c r="DY33" s="413"/>
      <c r="HD33" t="s">
        <v>391</v>
      </c>
      <c r="HE33" s="1">
        <f>1+((HE35*HE36*HE37)/(HE38*HE39))</f>
        <v>16.660043458695149</v>
      </c>
    </row>
    <row r="34" spans="1:214" x14ac:dyDescent="0.2">
      <c r="A34" t="s">
        <v>186</v>
      </c>
      <c r="B34" s="411">
        <v>30</v>
      </c>
      <c r="C34" t="s">
        <v>45</v>
      </c>
      <c r="D34" t="s">
        <v>51</v>
      </c>
      <c r="E34">
        <v>350</v>
      </c>
      <c r="F34" t="s">
        <v>52</v>
      </c>
      <c r="G34" t="s">
        <v>163</v>
      </c>
      <c r="H34">
        <v>0.54</v>
      </c>
      <c r="I34" t="s">
        <v>164</v>
      </c>
      <c r="J34" t="s">
        <v>98</v>
      </c>
      <c r="K34">
        <v>1</v>
      </c>
      <c r="L34" t="s">
        <v>119</v>
      </c>
      <c r="V34" t="s">
        <v>96</v>
      </c>
      <c r="W34">
        <f>B47</f>
        <v>60</v>
      </c>
      <c r="X34" t="s">
        <v>78</v>
      </c>
      <c r="Y34" t="s">
        <v>96</v>
      </c>
      <c r="Z34">
        <f>B47</f>
        <v>60</v>
      </c>
      <c r="AA34" t="s">
        <v>78</v>
      </c>
      <c r="AC34">
        <v>365</v>
      </c>
      <c r="AD34">
        <v>365</v>
      </c>
      <c r="AE34">
        <v>365</v>
      </c>
      <c r="AF34">
        <v>365</v>
      </c>
      <c r="AG34">
        <v>365</v>
      </c>
      <c r="AH34" t="s">
        <v>173</v>
      </c>
      <c r="BJ34" t="s">
        <v>460</v>
      </c>
      <c r="BK34" s="1">
        <f>B22</f>
        <v>2.7199999999999998E-2</v>
      </c>
      <c r="BL34" t="s">
        <v>121</v>
      </c>
      <c r="BM34" t="s">
        <v>460</v>
      </c>
      <c r="BN34" s="1">
        <f>B24</f>
        <v>3.4500000000000003E-2</v>
      </c>
      <c r="BO34" t="s">
        <v>121</v>
      </c>
      <c r="BV34" t="s">
        <v>434</v>
      </c>
      <c r="BW34">
        <f>BW22/BW20</f>
        <v>1</v>
      </c>
      <c r="BZ34">
        <v>365</v>
      </c>
      <c r="CA34" t="s">
        <v>173</v>
      </c>
      <c r="CH34" s="429" t="s">
        <v>393</v>
      </c>
      <c r="CI34" s="429"/>
      <c r="CJ34" s="429"/>
      <c r="CK34" s="429"/>
      <c r="CL34" s="429"/>
      <c r="CT34" t="s">
        <v>98</v>
      </c>
      <c r="CU34">
        <v>1</v>
      </c>
      <c r="CV34" t="s">
        <v>119</v>
      </c>
      <c r="CZ34" t="s">
        <v>244</v>
      </c>
      <c r="DA34" s="1">
        <f>B55</f>
        <v>28.5</v>
      </c>
      <c r="DB34" t="s">
        <v>380</v>
      </c>
      <c r="DS34" s="1"/>
      <c r="DY34" s="413"/>
      <c r="EH34" s="1"/>
      <c r="HD34" t="s">
        <v>167</v>
      </c>
      <c r="HE34">
        <v>8.1999999999999993</v>
      </c>
    </row>
    <row r="35" spans="1:214" ht="13.15" customHeight="1" x14ac:dyDescent="0.2">
      <c r="A35" t="s">
        <v>421</v>
      </c>
      <c r="B35" s="410">
        <v>1.9999999999999999E-6</v>
      </c>
      <c r="D35" t="s">
        <v>447</v>
      </c>
      <c r="E35" s="1">
        <f>B28</f>
        <v>7.3999999999999999E-4</v>
      </c>
      <c r="F35" t="s">
        <v>160</v>
      </c>
      <c r="G35" t="s">
        <v>165</v>
      </c>
      <c r="H35">
        <v>0.71</v>
      </c>
      <c r="I35" t="s">
        <v>164</v>
      </c>
      <c r="J35" t="s">
        <v>83</v>
      </c>
      <c r="K35">
        <v>1</v>
      </c>
      <c r="L35" t="s">
        <v>119</v>
      </c>
      <c r="M35" s="407"/>
      <c r="N35" s="407"/>
      <c r="O35" s="407"/>
      <c r="P35" s="407"/>
      <c r="Q35" s="407"/>
      <c r="R35" s="407"/>
      <c r="V35" t="s">
        <v>445</v>
      </c>
      <c r="W35" s="1">
        <f>B26</f>
        <v>7.8700000000000002E-5</v>
      </c>
      <c r="X35" t="s">
        <v>107</v>
      </c>
      <c r="Y35" t="s">
        <v>445</v>
      </c>
      <c r="Z35" s="1">
        <f>B26</f>
        <v>7.8700000000000002E-5</v>
      </c>
      <c r="AA35" t="s">
        <v>107</v>
      </c>
      <c r="AB35" t="s">
        <v>37</v>
      </c>
      <c r="AC35">
        <f>(AC31*AC32)/(1-EXP(-AC32*AC31))</f>
        <v>1.0201861084227344</v>
      </c>
      <c r="AD35">
        <f>(AD31*AD32)/(1-EXP(-AD32*AD31))</f>
        <v>1.0201861084227344</v>
      </c>
      <c r="AE35">
        <f>(AE31*AE32)/(1-EXP(-AE32*AE31))</f>
        <v>1.0201861084227344</v>
      </c>
      <c r="AF35">
        <f>(AF31*AF32)/(1-EXP(-AF32*AF31))</f>
        <v>1.0008022977791844</v>
      </c>
      <c r="AG35">
        <f>(AG31*AG32)/(1-EXP(-AG32*AG31))</f>
        <v>1.0008022977791844</v>
      </c>
      <c r="BT35" s="1"/>
      <c r="BZ35">
        <v>1000</v>
      </c>
      <c r="CA35" t="s">
        <v>179</v>
      </c>
      <c r="CH35" s="429"/>
      <c r="CI35" s="429"/>
      <c r="CJ35" s="429"/>
      <c r="CK35" s="429"/>
      <c r="CL35" s="429"/>
      <c r="CT35" t="s">
        <v>83</v>
      </c>
      <c r="CU35">
        <v>1</v>
      </c>
      <c r="CV35" t="s">
        <v>119</v>
      </c>
      <c r="CZ35" t="s">
        <v>246</v>
      </c>
      <c r="DA35">
        <v>350</v>
      </c>
      <c r="DB35" t="s">
        <v>245</v>
      </c>
      <c r="DS35" s="1"/>
      <c r="DY35" s="413"/>
      <c r="EH35" s="1"/>
      <c r="HD35" t="s">
        <v>131</v>
      </c>
      <c r="HE35" s="4">
        <v>5</v>
      </c>
      <c r="HF35" t="s">
        <v>170</v>
      </c>
    </row>
    <row r="36" spans="1:214" x14ac:dyDescent="0.2">
      <c r="A36" t="s">
        <v>418</v>
      </c>
      <c r="B36" s="410">
        <v>5.0000000000000002E-5</v>
      </c>
      <c r="D36" t="s">
        <v>65</v>
      </c>
      <c r="E36">
        <v>1</v>
      </c>
      <c r="F36" t="s">
        <v>119</v>
      </c>
      <c r="G36" t="s">
        <v>168</v>
      </c>
      <c r="H36">
        <v>24</v>
      </c>
      <c r="I36" t="s">
        <v>80</v>
      </c>
      <c r="J36" t="s">
        <v>238</v>
      </c>
      <c r="K36">
        <v>24</v>
      </c>
      <c r="L36" t="s">
        <v>80</v>
      </c>
      <c r="M36" s="407"/>
      <c r="N36" s="407"/>
      <c r="O36" s="407"/>
      <c r="P36" s="407"/>
      <c r="Q36" s="407"/>
      <c r="R36" s="407"/>
      <c r="V36" t="s">
        <v>464</v>
      </c>
      <c r="W36" s="1">
        <f>B2</f>
        <v>2.41E-4</v>
      </c>
      <c r="Y36" t="s">
        <v>464</v>
      </c>
      <c r="Z36" s="1">
        <f>B2</f>
        <v>2.41E-4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 t="s">
        <v>179</v>
      </c>
      <c r="BK36" s="429" t="s">
        <v>405</v>
      </c>
      <c r="BL36" s="429"/>
      <c r="BM36" s="429"/>
      <c r="BN36" s="429"/>
      <c r="BO36" s="429"/>
      <c r="BZ36">
        <v>1000</v>
      </c>
      <c r="CA36" t="s">
        <v>50</v>
      </c>
      <c r="CH36" s="429"/>
      <c r="CI36" s="429"/>
      <c r="CJ36" s="429"/>
      <c r="CK36" s="429"/>
      <c r="CL36" s="429"/>
      <c r="CT36" t="s">
        <v>382</v>
      </c>
      <c r="CU36">
        <v>24</v>
      </c>
      <c r="CV36" t="s">
        <v>80</v>
      </c>
      <c r="CZ36" t="s">
        <v>247</v>
      </c>
      <c r="DA36">
        <v>350</v>
      </c>
      <c r="DB36" t="s">
        <v>245</v>
      </c>
      <c r="DS36" s="1"/>
      <c r="DY36" s="414"/>
      <c r="EH36" s="1"/>
      <c r="HD36" t="s">
        <v>171</v>
      </c>
      <c r="HE36" s="4">
        <v>5</v>
      </c>
      <c r="HF36" t="s">
        <v>172</v>
      </c>
    </row>
    <row r="37" spans="1:214" x14ac:dyDescent="0.2">
      <c r="A37" t="s">
        <v>419</v>
      </c>
      <c r="B37" s="410">
        <v>6.0000000000000001E-3</v>
      </c>
      <c r="D37" t="s">
        <v>162</v>
      </c>
      <c r="E37">
        <f>B56</f>
        <v>54</v>
      </c>
      <c r="F37" t="s">
        <v>90</v>
      </c>
      <c r="G37" t="s">
        <v>168</v>
      </c>
      <c r="H37">
        <v>24</v>
      </c>
      <c r="I37" t="s">
        <v>80</v>
      </c>
      <c r="J37" t="s">
        <v>239</v>
      </c>
      <c r="K37">
        <v>24</v>
      </c>
      <c r="L37" t="s">
        <v>80</v>
      </c>
      <c r="V37" t="s">
        <v>452</v>
      </c>
      <c r="W37" s="1">
        <f>W26/((W32/W33)*W29*W30*W31*W34)</f>
        <v>1.2903225806451613E-3</v>
      </c>
      <c r="X37" t="s">
        <v>36</v>
      </c>
      <c r="Y37" t="s">
        <v>452</v>
      </c>
      <c r="Z37" s="1">
        <f>(Z26*Z30*Z27)/((1-EXP(-Z27))*Z30*Z31*Z29*Z43*(Z32/Z33)*Z34)</f>
        <v>1.2913578035860442E-3</v>
      </c>
      <c r="AA37" t="s">
        <v>37</v>
      </c>
      <c r="AB37" t="s">
        <v>451</v>
      </c>
      <c r="AC37" s="1">
        <f>(AC5/(AC9*AC16*AC8*AC11*(1/AC6)))*AC35</f>
        <v>55.145195049877536</v>
      </c>
      <c r="AD37" s="1">
        <f>(AD5/(AD9*AD16*AD8*AD11*(1/AD6)))*AD35</f>
        <v>110.29039009975507</v>
      </c>
      <c r="AE37" s="1">
        <f>(AE5/(AE9*AE16*AE8*AE11*(1/AE6)))*AE35</f>
        <v>61.272438944308377</v>
      </c>
      <c r="AF37" s="1">
        <f>(AF5/(AF9*AF16*AF8*AF11*(1/AF6)))*AF35</f>
        <v>16.39315803078107</v>
      </c>
      <c r="AG37" s="1">
        <f>(AG5/(AG9*AG16*AG8*AG11*(1/AG6)))*AG35</f>
        <v>16.39315803078107</v>
      </c>
      <c r="BK37" s="429"/>
      <c r="BL37" s="429"/>
      <c r="BM37" s="429"/>
      <c r="BN37" s="429"/>
      <c r="BO37" s="429"/>
      <c r="BY37" t="s">
        <v>435</v>
      </c>
      <c r="BZ37">
        <f>BZ27/BZ25</f>
        <v>1</v>
      </c>
      <c r="CH37" s="429"/>
      <c r="CI37" s="429"/>
      <c r="CJ37" s="429"/>
      <c r="CK37" s="429"/>
      <c r="CL37" s="429"/>
      <c r="CT37" t="s">
        <v>239</v>
      </c>
      <c r="CU37">
        <v>24</v>
      </c>
      <c r="CV37" t="s">
        <v>80</v>
      </c>
      <c r="CZ37" t="s">
        <v>227</v>
      </c>
      <c r="DA37">
        <v>1</v>
      </c>
      <c r="DB37" t="s">
        <v>119</v>
      </c>
      <c r="DS37" s="1"/>
      <c r="DY37" s="413"/>
      <c r="EH37" s="1"/>
      <c r="HD37" t="s">
        <v>175</v>
      </c>
      <c r="HE37" s="4">
        <f>(0.0112*HE39*HE39)^0.5+HE40*(1-EXP((-HE38*HE39)/(HE35*HE36*HE40)))</f>
        <v>6.2013772096432787</v>
      </c>
      <c r="HF37" t="s">
        <v>176</v>
      </c>
    </row>
    <row r="38" spans="1:214" x14ac:dyDescent="0.2">
      <c r="A38" t="s">
        <v>319</v>
      </c>
      <c r="B38" s="410">
        <v>4.0000000000000001E-3</v>
      </c>
      <c r="D38" t="s">
        <v>451</v>
      </c>
      <c r="E38" s="1">
        <f>E33/(E35*E34*E36*E37)</f>
        <v>7.1500071500071496E-2</v>
      </c>
      <c r="F38" t="s">
        <v>22</v>
      </c>
      <c r="G38" t="s">
        <v>151</v>
      </c>
      <c r="H38">
        <v>1</v>
      </c>
      <c r="I38" t="s">
        <v>152</v>
      </c>
      <c r="J38" t="s">
        <v>369</v>
      </c>
      <c r="K38">
        <v>0.25</v>
      </c>
      <c r="V38" t="s">
        <v>477</v>
      </c>
      <c r="W38" s="1">
        <f>(W26)/((W32/W33)*W29*W30*W35*(1/365))</f>
        <v>55654.383735705211</v>
      </c>
      <c r="X38" t="s">
        <v>36</v>
      </c>
      <c r="Y38" t="s">
        <v>477</v>
      </c>
      <c r="Z38" s="1">
        <f>(Z26*Z30*Z27)/((1-EXP(-Z27*Z30))*Z35*Z29*Z43*(Z32/Z33)*Z36*(Z43/Z44))</f>
        <v>231116328.31609228</v>
      </c>
      <c r="AA38" t="s">
        <v>37</v>
      </c>
      <c r="AB38" t="s">
        <v>452</v>
      </c>
      <c r="AC38" s="1">
        <f>(AC5/(AC24*AC20*AC8*AC11*(1/AC40)*((8/1)/(24/1))*AC36))*AC35</f>
        <v>1789.3991593664432</v>
      </c>
      <c r="AD38" s="1">
        <f>(AD5/(AD24*AD20*AD8*((8/1)/(24/1))*AD11*(1/AD40)*AD36))*AD35</f>
        <v>1789.399159366443</v>
      </c>
      <c r="AE38" s="1">
        <f>(AE5/(AE24*AE20*AE8*((8/1)/(24/1))*AE11*(1/AE40)*AE36))*AE35</f>
        <v>1988.2212881849371</v>
      </c>
      <c r="AF38" s="1">
        <f>(AF5/(AF24*AF20*AF8*AF11*(1/AF41)*AF28*AF19*AF36))*AF35</f>
        <v>4158.7583707872109</v>
      </c>
      <c r="AG38" s="1">
        <v>432</v>
      </c>
      <c r="BK38" s="429"/>
      <c r="BL38" s="429"/>
      <c r="BM38" s="429"/>
      <c r="BN38" s="429"/>
      <c r="BO38" s="429"/>
      <c r="BY38" t="s">
        <v>434</v>
      </c>
      <c r="BZ38">
        <f>BZ26/BZ25</f>
        <v>1</v>
      </c>
      <c r="CT38" t="s">
        <v>383</v>
      </c>
      <c r="CU38">
        <v>1</v>
      </c>
      <c r="CZ38" t="s">
        <v>228</v>
      </c>
      <c r="DA38">
        <v>1</v>
      </c>
      <c r="DB38" t="s">
        <v>119</v>
      </c>
      <c r="DY38" s="413"/>
      <c r="HD38" t="s">
        <v>178</v>
      </c>
      <c r="HE38" s="4">
        <v>0.18</v>
      </c>
      <c r="HF38" t="s">
        <v>170</v>
      </c>
    </row>
    <row r="39" spans="1:214" ht="13.5" thickBot="1" x14ac:dyDescent="0.25">
      <c r="A39" t="s">
        <v>420</v>
      </c>
      <c r="B39" s="412">
        <v>1.7000000000000001E-4</v>
      </c>
      <c r="G39" t="s">
        <v>153</v>
      </c>
      <c r="H39">
        <v>1</v>
      </c>
      <c r="I39" t="s">
        <v>152</v>
      </c>
      <c r="J39" t="s">
        <v>155</v>
      </c>
      <c r="K39">
        <v>1.752</v>
      </c>
      <c r="L39" t="s">
        <v>117</v>
      </c>
      <c r="V39" t="s">
        <v>452</v>
      </c>
      <c r="W39" s="1">
        <f>(W26*W27*W30)/((W32/W33)*(1-EXP(-W27*W30))*W31*W34*W29*W30)</f>
        <v>1.2913578035860444E-3</v>
      </c>
      <c r="X39" t="s">
        <v>37</v>
      </c>
      <c r="Y39" t="s">
        <v>452</v>
      </c>
      <c r="Z39" s="1">
        <f>Z26/((Z31*Z29*Z43*(Z32/Z33)*Z34))</f>
        <v>1.2903225806451613E-3</v>
      </c>
      <c r="AA39" t="s">
        <v>36</v>
      </c>
      <c r="AB39" t="s">
        <v>453</v>
      </c>
      <c r="AC39" s="1">
        <f>(AC5/(AC23*AC22*AC29*AC19*AC8*(1/AC34)*AC11))*AC35</f>
        <v>663693.53570593859</v>
      </c>
      <c r="AD39" s="1">
        <f>(AD5/(AD23*AD22*AD29*AD21*AD8*(1/AD34)*AD11))*AD35</f>
        <v>399.87535526282795</v>
      </c>
      <c r="AE39" s="1">
        <f>(AE5/(AE23*AE22*AE29*AE19*AE8*(1/AE34)*AE11))*AE35</f>
        <v>737437.26189548732</v>
      </c>
      <c r="AF39" s="1">
        <f>(AF5/(AF23*AF22*(AF28+AF29*AF21)*AF8*(1/AF34)*AF11))*AF35</f>
        <v>112.07931882463286</v>
      </c>
      <c r="AG39" s="1">
        <f>(AG5/(AG24*AG20*AG8*AG11*(1/AG42)*(AG28+(AG29*AG30))*AG36))*AG35</f>
        <v>64.159789574628448</v>
      </c>
      <c r="BK39" s="429"/>
      <c r="BL39" s="429"/>
      <c r="BM39" s="429"/>
      <c r="BN39" s="429"/>
      <c r="BO39" s="429"/>
      <c r="BT39" s="7"/>
      <c r="BU39" s="2"/>
      <c r="CT39" t="s">
        <v>155</v>
      </c>
      <c r="CU39">
        <v>12.167999999999999</v>
      </c>
      <c r="CV39" t="s">
        <v>117</v>
      </c>
      <c r="CZ39" t="s">
        <v>229</v>
      </c>
      <c r="DA39">
        <v>1</v>
      </c>
      <c r="DB39" t="s">
        <v>119</v>
      </c>
      <c r="DY39" s="413"/>
      <c r="HD39" t="s">
        <v>180</v>
      </c>
      <c r="HE39" s="4">
        <v>55</v>
      </c>
      <c r="HF39" t="s">
        <v>176</v>
      </c>
    </row>
    <row r="40" spans="1:214" ht="15" customHeight="1" thickTop="1" x14ac:dyDescent="0.2">
      <c r="A40" t="s">
        <v>396</v>
      </c>
      <c r="B40" s="410">
        <f>B36</f>
        <v>5.0000000000000002E-5</v>
      </c>
      <c r="D40" s="104" t="s">
        <v>3</v>
      </c>
      <c r="E40" s="104"/>
      <c r="F40" s="105" t="s">
        <v>0</v>
      </c>
      <c r="H40">
        <f>1/1000</f>
        <v>1E-3</v>
      </c>
      <c r="I40" t="s">
        <v>154</v>
      </c>
      <c r="J40" t="s">
        <v>158</v>
      </c>
      <c r="K40">
        <v>16.416</v>
      </c>
      <c r="L40" t="s">
        <v>117</v>
      </c>
      <c r="V40" t="s">
        <v>477</v>
      </c>
      <c r="W40" s="1">
        <f>(W26*W27*W30)/((W32/W33)*(1-EXP(-W27*W30))*W35*W29*W30*(1/365))</f>
        <v>55699.035124178248</v>
      </c>
      <c r="X40" t="s">
        <v>37</v>
      </c>
      <c r="Y40" t="s">
        <v>477</v>
      </c>
      <c r="Z40" s="1">
        <f>Z26/(Z35*Z29*(1/Z44)*Z43*(Z32/Z33)*Z36)</f>
        <v>230931052.84524986</v>
      </c>
      <c r="AA40" t="s">
        <v>36</v>
      </c>
      <c r="AB40" t="s">
        <v>148</v>
      </c>
      <c r="AC40" s="1">
        <f>B30</f>
        <v>1359344473.5814338</v>
      </c>
      <c r="AD40" s="1">
        <f>B30</f>
        <v>1359344473.5814338</v>
      </c>
      <c r="AE40" s="1">
        <f>B30</f>
        <v>1359344473.5814338</v>
      </c>
      <c r="AG40" s="1">
        <f>(AG5/(AG23*AG22*(AG28+AG29*AG21)*AG8*(1/AG34)*AG11))*AG35</f>
        <v>112.07931882463286</v>
      </c>
      <c r="BT40" s="7"/>
      <c r="BU40" s="2"/>
      <c r="CT40" t="s">
        <v>158</v>
      </c>
      <c r="CU40">
        <v>10.007999999999999</v>
      </c>
      <c r="CV40" t="s">
        <v>117</v>
      </c>
      <c r="CZ40" t="s">
        <v>409</v>
      </c>
      <c r="DA40">
        <v>24</v>
      </c>
      <c r="DB40" t="s">
        <v>80</v>
      </c>
      <c r="DY40" s="413"/>
      <c r="HD40" t="s">
        <v>181</v>
      </c>
      <c r="HE40" s="4">
        <v>5</v>
      </c>
      <c r="HF40" t="s">
        <v>176</v>
      </c>
    </row>
    <row r="41" spans="1:214" ht="14.25" x14ac:dyDescent="0.2">
      <c r="A41" t="s">
        <v>395</v>
      </c>
      <c r="B41" s="410">
        <f>B37</f>
        <v>6.0000000000000001E-3</v>
      </c>
      <c r="D41" s="107" t="s">
        <v>150</v>
      </c>
      <c r="E41" s="107" t="s">
        <v>456</v>
      </c>
      <c r="F41" s="108" t="s">
        <v>24</v>
      </c>
      <c r="H41">
        <v>1000</v>
      </c>
      <c r="I41" t="s">
        <v>157</v>
      </c>
      <c r="J41" t="s">
        <v>161</v>
      </c>
      <c r="K41">
        <v>0.4</v>
      </c>
      <c r="Y41" t="s">
        <v>378</v>
      </c>
      <c r="Z41">
        <v>50</v>
      </c>
      <c r="AA41" t="s">
        <v>194</v>
      </c>
      <c r="AB41" s="5" t="s">
        <v>184</v>
      </c>
      <c r="AF41" s="6">
        <f>B31</f>
        <v>776129.4078035407</v>
      </c>
      <c r="AH41" s="5" t="s">
        <v>149</v>
      </c>
      <c r="BT41" s="1"/>
      <c r="CT41" t="s">
        <v>161</v>
      </c>
      <c r="CU41">
        <v>0.4</v>
      </c>
      <c r="CZ41" t="s">
        <v>410</v>
      </c>
      <c r="DA41">
        <v>24</v>
      </c>
      <c r="DB41" t="s">
        <v>80</v>
      </c>
      <c r="DY41" s="413"/>
      <c r="HD41" t="s">
        <v>182</v>
      </c>
      <c r="HE41" s="4">
        <v>5</v>
      </c>
      <c r="HF41" t="s">
        <v>176</v>
      </c>
    </row>
    <row r="42" spans="1:214" ht="13.9" customHeight="1" x14ac:dyDescent="0.2">
      <c r="A42" t="s">
        <v>63</v>
      </c>
      <c r="B42" s="410">
        <v>1E-3</v>
      </c>
      <c r="D42" s="107" t="s">
        <v>177</v>
      </c>
      <c r="E42" s="109">
        <f>E52</f>
        <v>2.3833357166690496</v>
      </c>
      <c r="F42" s="110"/>
      <c r="H42">
        <v>1000</v>
      </c>
      <c r="I42" t="s">
        <v>376</v>
      </c>
      <c r="J42" t="s">
        <v>466</v>
      </c>
      <c r="K42">
        <v>0.4</v>
      </c>
      <c r="Y42" t="s">
        <v>377</v>
      </c>
      <c r="Z42">
        <v>5</v>
      </c>
      <c r="AA42" t="s">
        <v>297</v>
      </c>
      <c r="AB42" s="5" t="s">
        <v>185</v>
      </c>
      <c r="AF42" s="5"/>
      <c r="AG42" s="6">
        <f>B32</f>
        <v>69557565.807898715</v>
      </c>
      <c r="AH42" s="5"/>
      <c r="AI42" s="5"/>
      <c r="AJ42" s="5"/>
      <c r="AK42" s="5"/>
      <c r="CT42" t="s">
        <v>466</v>
      </c>
      <c r="CU42">
        <v>0.4</v>
      </c>
      <c r="CZ42" t="s">
        <v>151</v>
      </c>
      <c r="DA42">
        <v>1</v>
      </c>
      <c r="DB42" t="s">
        <v>248</v>
      </c>
    </row>
    <row r="43" spans="1:214" ht="13.15" customHeight="1" thickBot="1" x14ac:dyDescent="0.25">
      <c r="A43" t="s">
        <v>64</v>
      </c>
      <c r="B43" s="410">
        <v>5.0000000000000001E-3</v>
      </c>
      <c r="D43" s="419" t="s">
        <v>10</v>
      </c>
      <c r="E43" s="112" t="s">
        <v>33</v>
      </c>
      <c r="F43" s="113"/>
      <c r="G43" t="s">
        <v>369</v>
      </c>
      <c r="H43">
        <v>0.25</v>
      </c>
      <c r="J43" t="s">
        <v>465</v>
      </c>
      <c r="K43" s="1">
        <f>B2</f>
        <v>2.41E-4</v>
      </c>
      <c r="Y43" t="s">
        <v>298</v>
      </c>
      <c r="Z43">
        <v>1</v>
      </c>
      <c r="AA43" t="s">
        <v>253</v>
      </c>
      <c r="AF43" s="429" t="s">
        <v>392</v>
      </c>
      <c r="AG43" s="429"/>
      <c r="AH43" s="429"/>
      <c r="AI43" s="5"/>
      <c r="AJ43" s="5"/>
      <c r="AK43" s="5"/>
      <c r="BT43" s="1"/>
      <c r="CT43" t="s">
        <v>465</v>
      </c>
      <c r="CU43" s="1">
        <f>B2</f>
        <v>2.41E-4</v>
      </c>
      <c r="CZ43" t="s">
        <v>153</v>
      </c>
      <c r="DA43">
        <v>1</v>
      </c>
      <c r="DB43" t="s">
        <v>248</v>
      </c>
    </row>
    <row r="44" spans="1:214" ht="13.5" thickTop="1" x14ac:dyDescent="0.2">
      <c r="D44" t="s">
        <v>485</v>
      </c>
      <c r="E44" s="1">
        <v>1</v>
      </c>
      <c r="H44">
        <v>365</v>
      </c>
      <c r="I44" t="s">
        <v>52</v>
      </c>
      <c r="J44" t="s">
        <v>105</v>
      </c>
      <c r="K44" s="1">
        <f>B3</f>
        <v>0.753</v>
      </c>
      <c r="Z44">
        <v>365</v>
      </c>
      <c r="AA44" t="s">
        <v>145</v>
      </c>
      <c r="AF44" s="429"/>
      <c r="AG44" s="429"/>
      <c r="AH44" s="429"/>
      <c r="CT44" t="s">
        <v>105</v>
      </c>
      <c r="CU44" s="1">
        <f>B3</f>
        <v>0.753</v>
      </c>
      <c r="CZ44" t="s">
        <v>249</v>
      </c>
      <c r="DA44">
        <v>0.54</v>
      </c>
      <c r="DB44" t="s">
        <v>251</v>
      </c>
    </row>
    <row r="45" spans="1:214" ht="12.75" customHeight="1" x14ac:dyDescent="0.2">
      <c r="A45" t="s">
        <v>87</v>
      </c>
      <c r="B45" s="411">
        <v>10</v>
      </c>
      <c r="C45" t="s">
        <v>78</v>
      </c>
      <c r="D45" t="s">
        <v>51</v>
      </c>
      <c r="E45">
        <v>350</v>
      </c>
      <c r="F45" t="s">
        <v>52</v>
      </c>
      <c r="H45">
        <v>8760</v>
      </c>
      <c r="I45" t="s">
        <v>237</v>
      </c>
      <c r="J45" t="s">
        <v>169</v>
      </c>
      <c r="K45">
        <v>26</v>
      </c>
      <c r="L45" t="s">
        <v>88</v>
      </c>
      <c r="AB45" s="5"/>
      <c r="AC45" s="5"/>
      <c r="AF45" s="429"/>
      <c r="AG45" s="429"/>
      <c r="AH45" s="429"/>
      <c r="AI45" s="5"/>
      <c r="AJ45" s="5"/>
      <c r="AK45" s="5"/>
      <c r="CT45" t="s">
        <v>299</v>
      </c>
      <c r="CU45">
        <v>40</v>
      </c>
      <c r="CV45" t="s">
        <v>88</v>
      </c>
      <c r="CZ45" t="s">
        <v>250</v>
      </c>
      <c r="DA45">
        <v>0.71</v>
      </c>
      <c r="DB45" t="s">
        <v>251</v>
      </c>
    </row>
    <row r="46" spans="1:214" x14ac:dyDescent="0.2">
      <c r="A46" t="s">
        <v>95</v>
      </c>
      <c r="B46" s="411">
        <v>20</v>
      </c>
      <c r="C46" t="s">
        <v>78</v>
      </c>
      <c r="D46" t="s">
        <v>447</v>
      </c>
      <c r="E46" s="1">
        <f>B28</f>
        <v>7.3999999999999999E-4</v>
      </c>
      <c r="F46" t="s">
        <v>160</v>
      </c>
      <c r="G46" t="s">
        <v>46</v>
      </c>
      <c r="H46">
        <f>H48</f>
        <v>5.0000000000000002E-5</v>
      </c>
      <c r="K46">
        <v>365</v>
      </c>
      <c r="L46" t="s">
        <v>173</v>
      </c>
      <c r="AB46" s="5"/>
      <c r="AC46" s="9"/>
      <c r="AI46" s="5"/>
      <c r="AJ46" s="5"/>
      <c r="AK46" s="5"/>
      <c r="CU46">
        <v>365</v>
      </c>
      <c r="CV46" t="s">
        <v>173</v>
      </c>
      <c r="DA46">
        <v>365</v>
      </c>
      <c r="DB46" t="s">
        <v>245</v>
      </c>
    </row>
    <row r="47" spans="1:214" ht="15" x14ac:dyDescent="0.2">
      <c r="A47" t="s">
        <v>96</v>
      </c>
      <c r="B47" s="411">
        <v>60</v>
      </c>
      <c r="C47" t="s">
        <v>78</v>
      </c>
      <c r="D47" t="s">
        <v>65</v>
      </c>
      <c r="E47">
        <v>1</v>
      </c>
      <c r="F47" t="s">
        <v>119</v>
      </c>
      <c r="G47" t="s">
        <v>54</v>
      </c>
      <c r="H47">
        <f>H49</f>
        <v>0.26</v>
      </c>
      <c r="K47">
        <v>1000</v>
      </c>
      <c r="L47" t="s">
        <v>179</v>
      </c>
      <c r="W47" s="7"/>
      <c r="X47" s="2"/>
      <c r="Y47" s="2"/>
      <c r="Z47" s="2"/>
      <c r="AA47" s="2"/>
      <c r="AB47" s="5"/>
      <c r="AC47" s="5"/>
      <c r="AD47" s="5"/>
      <c r="AI47" s="5"/>
      <c r="AJ47" s="5"/>
      <c r="AK47" s="5"/>
      <c r="CU47">
        <v>1000</v>
      </c>
      <c r="CV47" t="s">
        <v>179</v>
      </c>
      <c r="CZ47" t="s">
        <v>131</v>
      </c>
      <c r="DA47">
        <v>0.5</v>
      </c>
      <c r="DB47" t="s">
        <v>252</v>
      </c>
    </row>
    <row r="48" spans="1:214" x14ac:dyDescent="0.2">
      <c r="A48" t="s">
        <v>108</v>
      </c>
      <c r="B48" s="411">
        <v>200</v>
      </c>
      <c r="C48" t="s">
        <v>90</v>
      </c>
      <c r="D48" t="s">
        <v>162</v>
      </c>
      <c r="E48">
        <f>B56</f>
        <v>54</v>
      </c>
      <c r="F48" t="s">
        <v>90</v>
      </c>
      <c r="G48" t="s">
        <v>63</v>
      </c>
      <c r="H48">
        <f>B40</f>
        <v>5.0000000000000002E-5</v>
      </c>
      <c r="K48">
        <v>1000</v>
      </c>
      <c r="L48" t="s">
        <v>50</v>
      </c>
      <c r="W48" s="7"/>
      <c r="X48" s="2"/>
      <c r="Y48" s="2"/>
      <c r="Z48" s="2"/>
      <c r="AA48" s="2"/>
      <c r="AB48" s="5"/>
      <c r="AC48" s="5"/>
      <c r="AF48" s="8"/>
      <c r="AG48" s="5"/>
      <c r="AH48" s="5"/>
      <c r="AI48" s="5"/>
      <c r="AJ48" s="5"/>
      <c r="AK48" s="5"/>
      <c r="CU48">
        <v>1000</v>
      </c>
      <c r="CV48" t="s">
        <v>50</v>
      </c>
      <c r="DA48">
        <v>1</v>
      </c>
      <c r="DB48" t="s">
        <v>253</v>
      </c>
    </row>
    <row r="49" spans="1:106" x14ac:dyDescent="0.2">
      <c r="A49" t="s">
        <v>127</v>
      </c>
      <c r="B49" s="411">
        <v>100</v>
      </c>
      <c r="C49" t="s">
        <v>90</v>
      </c>
      <c r="E49">
        <v>1000</v>
      </c>
      <c r="F49" t="s">
        <v>179</v>
      </c>
      <c r="G49" t="s">
        <v>70</v>
      </c>
      <c r="H49">
        <v>0.26</v>
      </c>
      <c r="J49" t="s">
        <v>46</v>
      </c>
      <c r="K49">
        <f>K51</f>
        <v>5.0000000000000002E-5</v>
      </c>
      <c r="W49" s="1"/>
      <c r="AB49" s="5"/>
      <c r="AC49" s="5"/>
      <c r="AF49" s="8"/>
      <c r="AG49" s="5"/>
      <c r="AH49" s="5"/>
      <c r="AI49" s="5"/>
      <c r="AJ49" s="5"/>
      <c r="AK49" s="5"/>
      <c r="BT49" s="1"/>
      <c r="CT49" t="s">
        <v>433</v>
      </c>
      <c r="CU49" s="1">
        <f>B61</f>
        <v>0.15</v>
      </c>
      <c r="DA49">
        <v>8760</v>
      </c>
      <c r="DB49" t="s">
        <v>237</v>
      </c>
    </row>
    <row r="50" spans="1:106" x14ac:dyDescent="0.2">
      <c r="A50" t="s">
        <v>414</v>
      </c>
      <c r="B50" s="411">
        <v>0.78</v>
      </c>
      <c r="D50" t="s">
        <v>186</v>
      </c>
      <c r="E50">
        <f>B34</f>
        <v>30</v>
      </c>
      <c r="F50" t="s">
        <v>45</v>
      </c>
      <c r="G50" t="s">
        <v>44</v>
      </c>
      <c r="H50" s="1">
        <f>(H53*H54*H55*((1-EXP(-H56*H57))))/(H58*H56)</f>
        <v>1.7470612337404778E-3</v>
      </c>
      <c r="I50" t="s">
        <v>45</v>
      </c>
      <c r="J50" t="s">
        <v>54</v>
      </c>
      <c r="K50">
        <f>K52</f>
        <v>0.26</v>
      </c>
      <c r="W50" s="1"/>
      <c r="AB50" s="5"/>
      <c r="AC50" s="5"/>
      <c r="AF50" s="8"/>
      <c r="AG50" s="5"/>
      <c r="AH50" s="5"/>
      <c r="AI50" s="5"/>
      <c r="AJ50" s="5"/>
      <c r="AK50" s="5"/>
      <c r="BW50" s="1"/>
      <c r="CT50" t="s">
        <v>432</v>
      </c>
      <c r="CU50" s="1">
        <f>B62</f>
        <v>0.85</v>
      </c>
      <c r="DA50">
        <v>1000</v>
      </c>
      <c r="DB50" t="s">
        <v>179</v>
      </c>
    </row>
    <row r="51" spans="1:106" x14ac:dyDescent="0.2">
      <c r="A51" t="s">
        <v>415</v>
      </c>
      <c r="B51" s="411">
        <v>2.5</v>
      </c>
      <c r="D51" t="s">
        <v>188</v>
      </c>
      <c r="E51">
        <v>1</v>
      </c>
      <c r="F51" t="s">
        <v>189</v>
      </c>
      <c r="G51" t="s">
        <v>53</v>
      </c>
      <c r="H51" s="1">
        <f>(H53*H54*H59*((1-EXP(-H56*H57))))/(H58*H56)</f>
        <v>9.0847184154504852</v>
      </c>
      <c r="I51" t="s">
        <v>45</v>
      </c>
      <c r="J51" t="s">
        <v>63</v>
      </c>
      <c r="K51">
        <f>B40</f>
        <v>5.0000000000000002E-5</v>
      </c>
      <c r="AB51" s="5"/>
      <c r="AC51" s="5"/>
      <c r="AF51" s="8"/>
      <c r="AG51" s="5"/>
      <c r="BW51" s="1"/>
      <c r="CZ51" t="s">
        <v>433</v>
      </c>
      <c r="DA51" s="1">
        <f>B61</f>
        <v>0.15</v>
      </c>
    </row>
    <row r="52" spans="1:106" x14ac:dyDescent="0.2">
      <c r="A52" t="s">
        <v>374</v>
      </c>
      <c r="B52" s="410">
        <v>14.8</v>
      </c>
      <c r="C52" t="s">
        <v>380</v>
      </c>
      <c r="D52" t="s">
        <v>451</v>
      </c>
      <c r="E52" s="1">
        <f>E44/(E46*E45*E47*E48*E50*E51*(1/E49))</f>
        <v>2.3833357166690496</v>
      </c>
      <c r="G52" t="s">
        <v>62</v>
      </c>
      <c r="H52" s="1">
        <f>(H53*H54*H60*H66*((1-EXP(-H61*H62))))/(H63*H61)</f>
        <v>3.6421488784670224</v>
      </c>
      <c r="I52" t="s">
        <v>45</v>
      </c>
      <c r="J52" t="s">
        <v>70</v>
      </c>
      <c r="K52">
        <v>0.26</v>
      </c>
      <c r="AB52" s="5"/>
      <c r="AC52" s="5"/>
      <c r="AF52" s="8"/>
      <c r="AG52" s="5"/>
      <c r="BW52" s="1"/>
      <c r="CZ52" t="s">
        <v>432</v>
      </c>
      <c r="DA52" s="1">
        <f>B62</f>
        <v>0.85</v>
      </c>
    </row>
    <row r="53" spans="1:106" x14ac:dyDescent="0.2">
      <c r="A53" t="s">
        <v>375</v>
      </c>
      <c r="B53" s="410">
        <v>56.2</v>
      </c>
      <c r="C53" t="s">
        <v>380</v>
      </c>
      <c r="G53" t="s">
        <v>68</v>
      </c>
      <c r="H53">
        <v>3.62</v>
      </c>
      <c r="I53" t="s">
        <v>69</v>
      </c>
      <c r="J53" t="s">
        <v>435</v>
      </c>
      <c r="K53" s="1">
        <f>B59</f>
        <v>0.23076923076923078</v>
      </c>
      <c r="W53" s="1"/>
      <c r="AB53" s="5"/>
      <c r="AC53" s="5"/>
      <c r="AF53" s="8"/>
      <c r="AG53" s="5"/>
    </row>
    <row r="54" spans="1:106" x14ac:dyDescent="0.2">
      <c r="A54" t="s">
        <v>370</v>
      </c>
      <c r="B54" s="410">
        <v>10.4</v>
      </c>
      <c r="C54" t="s">
        <v>380</v>
      </c>
      <c r="G54" t="s">
        <v>74</v>
      </c>
      <c r="H54">
        <v>0.25</v>
      </c>
      <c r="I54" t="s">
        <v>75</v>
      </c>
      <c r="J54" t="s">
        <v>434</v>
      </c>
      <c r="K54" s="1">
        <f>B60</f>
        <v>0.76923076923076927</v>
      </c>
      <c r="AB54" s="5"/>
      <c r="AC54" s="5"/>
      <c r="AF54" s="8"/>
      <c r="AG54" s="5"/>
    </row>
    <row r="55" spans="1:106" x14ac:dyDescent="0.2">
      <c r="A55" t="s">
        <v>371</v>
      </c>
      <c r="B55" s="410">
        <v>28.5</v>
      </c>
      <c r="C55" t="s">
        <v>380</v>
      </c>
      <c r="G55" t="s">
        <v>63</v>
      </c>
      <c r="H55">
        <f>B40</f>
        <v>5.0000000000000002E-5</v>
      </c>
      <c r="AB55" s="5"/>
      <c r="AC55" s="5"/>
      <c r="AD55" s="5"/>
      <c r="AF55" s="8"/>
      <c r="AG55" s="5"/>
      <c r="AH55" s="5"/>
      <c r="AI55" s="5"/>
      <c r="AJ55" s="5"/>
      <c r="AK55" s="5"/>
    </row>
    <row r="56" spans="1:106" x14ac:dyDescent="0.2">
      <c r="A56" t="s">
        <v>162</v>
      </c>
      <c r="B56" s="411">
        <v>54</v>
      </c>
      <c r="C56" t="s">
        <v>90</v>
      </c>
      <c r="G56" t="s">
        <v>92</v>
      </c>
      <c r="H56">
        <f>H64+H65</f>
        <v>3.1394977168949772E-5</v>
      </c>
      <c r="AB56" s="5"/>
      <c r="AC56" s="5"/>
      <c r="AD56" s="5"/>
      <c r="AF56" s="8"/>
      <c r="AG56" s="5"/>
      <c r="AH56" s="5"/>
      <c r="AI56" s="5"/>
      <c r="AJ56" s="5"/>
      <c r="AK56" s="5"/>
    </row>
    <row r="57" spans="1:106" x14ac:dyDescent="0.2">
      <c r="A57" t="s">
        <v>254</v>
      </c>
      <c r="B57" s="411">
        <v>256</v>
      </c>
      <c r="C57" t="s">
        <v>380</v>
      </c>
      <c r="G57" t="s">
        <v>101</v>
      </c>
      <c r="H57">
        <v>10950</v>
      </c>
      <c r="I57" t="s">
        <v>102</v>
      </c>
      <c r="AB57" s="5"/>
      <c r="AC57" s="5"/>
      <c r="AD57" s="5"/>
      <c r="AF57" s="8"/>
      <c r="AG57" s="5"/>
      <c r="AH57" s="5"/>
      <c r="AI57" s="5"/>
      <c r="AJ57" s="5"/>
      <c r="AK57" s="5"/>
    </row>
    <row r="58" spans="1:106" x14ac:dyDescent="0.2">
      <c r="A58" t="s">
        <v>255</v>
      </c>
      <c r="B58" s="411">
        <v>615</v>
      </c>
      <c r="C58" t="s">
        <v>380</v>
      </c>
      <c r="G58" t="s">
        <v>110</v>
      </c>
      <c r="H58">
        <v>240</v>
      </c>
      <c r="I58" t="s">
        <v>111</v>
      </c>
      <c r="AB58" s="5"/>
      <c r="AC58" s="5"/>
      <c r="AF58" s="8"/>
      <c r="AG58" s="5"/>
      <c r="AH58" s="5"/>
      <c r="AI58" s="5"/>
      <c r="AJ58" s="5"/>
      <c r="AK58" s="5"/>
    </row>
    <row r="59" spans="1:106" x14ac:dyDescent="0.2">
      <c r="A59" t="s">
        <v>435</v>
      </c>
      <c r="B59" s="410">
        <f>6/26</f>
        <v>0.23076923076923078</v>
      </c>
      <c r="G59" t="s">
        <v>120</v>
      </c>
      <c r="H59">
        <v>0.26</v>
      </c>
      <c r="AB59" s="5"/>
      <c r="AC59" s="5"/>
      <c r="AF59" s="5"/>
      <c r="AG59" s="5"/>
      <c r="AH59" s="5"/>
      <c r="AI59" s="5"/>
      <c r="AJ59" s="5"/>
      <c r="AK59" s="5"/>
    </row>
    <row r="60" spans="1:106" x14ac:dyDescent="0.2">
      <c r="A60" t="s">
        <v>434</v>
      </c>
      <c r="B60" s="410">
        <f>20/26</f>
        <v>0.76923076923076927</v>
      </c>
      <c r="G60" t="s">
        <v>125</v>
      </c>
      <c r="H60">
        <v>0.42</v>
      </c>
      <c r="I60" t="s">
        <v>75</v>
      </c>
      <c r="AB60" s="5"/>
      <c r="AC60" s="5"/>
      <c r="AF60" s="5"/>
      <c r="AG60" s="5"/>
      <c r="AH60" s="5"/>
      <c r="AI60" s="5"/>
      <c r="AJ60" s="5"/>
      <c r="AK60" s="5"/>
    </row>
    <row r="61" spans="1:106" x14ac:dyDescent="0.2">
      <c r="A61" t="s">
        <v>433</v>
      </c>
      <c r="B61" s="410">
        <f>6/40</f>
        <v>0.15</v>
      </c>
      <c r="G61" t="s">
        <v>129</v>
      </c>
      <c r="H61">
        <f>H65+(0.693/H67)</f>
        <v>4.9504394977168943E-2</v>
      </c>
      <c r="I61" t="s">
        <v>130</v>
      </c>
      <c r="AB61" s="5"/>
      <c r="AC61" s="5"/>
      <c r="AD61" s="5"/>
      <c r="AF61" s="5"/>
      <c r="AG61" s="5"/>
      <c r="AH61" s="5"/>
      <c r="AI61" s="5"/>
      <c r="AJ61" s="5"/>
      <c r="AK61" s="5"/>
      <c r="DA61" s="1"/>
    </row>
    <row r="62" spans="1:106" x14ac:dyDescent="0.2">
      <c r="A62" t="s">
        <v>432</v>
      </c>
      <c r="B62" s="410">
        <f>34/40</f>
        <v>0.85</v>
      </c>
      <c r="G62" t="s">
        <v>133</v>
      </c>
      <c r="H62">
        <v>60</v>
      </c>
      <c r="I62" t="s">
        <v>102</v>
      </c>
      <c r="AB62" s="5"/>
      <c r="AC62" s="5"/>
      <c r="AD62" s="5"/>
      <c r="AF62" s="8"/>
      <c r="AG62" s="5"/>
      <c r="AH62" s="5"/>
      <c r="AI62" s="5"/>
      <c r="AJ62" s="5"/>
      <c r="AK62" s="5"/>
    </row>
    <row r="63" spans="1:106" x14ac:dyDescent="0.2">
      <c r="G63" t="s">
        <v>135</v>
      </c>
      <c r="H63">
        <v>2</v>
      </c>
      <c r="I63" t="s">
        <v>111</v>
      </c>
      <c r="AB63" s="5"/>
      <c r="AC63" s="5"/>
      <c r="AD63" s="5"/>
      <c r="AF63" s="8"/>
      <c r="AG63" s="5"/>
      <c r="AH63" s="5"/>
      <c r="AI63" s="5"/>
      <c r="AJ63" s="5"/>
      <c r="AK63" s="5"/>
    </row>
    <row r="64" spans="1:106" x14ac:dyDescent="0.2">
      <c r="G64" t="s">
        <v>137</v>
      </c>
      <c r="H64">
        <v>2.6999999999999999E-5</v>
      </c>
      <c r="I64" t="s">
        <v>130</v>
      </c>
      <c r="AB64" s="5"/>
      <c r="AC64" s="5"/>
      <c r="AD64" s="5"/>
      <c r="AF64" s="8"/>
      <c r="AG64" s="5"/>
      <c r="AH64" s="5"/>
      <c r="AI64" s="5"/>
      <c r="AJ64" s="5"/>
      <c r="AK64" s="5"/>
    </row>
    <row r="65" spans="7:105" x14ac:dyDescent="0.2">
      <c r="G65" t="s">
        <v>138</v>
      </c>
      <c r="H65">
        <f>0.693/H69</f>
        <v>4.3949771689497717E-6</v>
      </c>
      <c r="I65" t="s">
        <v>130</v>
      </c>
      <c r="AB65" s="5"/>
      <c r="AC65" s="5"/>
      <c r="AD65" s="5"/>
      <c r="AF65" s="8"/>
      <c r="AG65" s="5"/>
      <c r="AH65" s="5"/>
      <c r="AI65" s="5"/>
      <c r="AJ65" s="5"/>
      <c r="AK65" s="5"/>
    </row>
    <row r="66" spans="7:105" x14ac:dyDescent="0.2">
      <c r="G66" t="s">
        <v>140</v>
      </c>
      <c r="H66">
        <v>1</v>
      </c>
      <c r="I66" t="s">
        <v>75</v>
      </c>
      <c r="AB66" s="5"/>
      <c r="AC66" s="5"/>
      <c r="AD66" s="5"/>
      <c r="AF66" s="8"/>
      <c r="AG66" s="5"/>
      <c r="AH66" s="5"/>
      <c r="AI66" s="5"/>
      <c r="AJ66" s="5"/>
      <c r="AK66" s="5"/>
      <c r="DA66" s="1"/>
    </row>
    <row r="67" spans="7:105" x14ac:dyDescent="0.2">
      <c r="G67" t="s">
        <v>144</v>
      </c>
      <c r="H67">
        <v>14</v>
      </c>
      <c r="I67" t="s">
        <v>145</v>
      </c>
      <c r="AB67" s="5"/>
      <c r="AC67" s="10"/>
      <c r="AD67" s="5"/>
      <c r="AF67" s="8"/>
      <c r="AG67" s="5"/>
      <c r="AH67" s="5"/>
      <c r="AI67" s="5"/>
      <c r="AJ67" s="5"/>
      <c r="AK67" s="5"/>
    </row>
    <row r="68" spans="7:105" x14ac:dyDescent="0.2">
      <c r="G68" t="s">
        <v>64</v>
      </c>
      <c r="H68">
        <f>B41</f>
        <v>6.0000000000000001E-3</v>
      </c>
      <c r="AB68" s="5"/>
      <c r="AC68" s="11"/>
      <c r="AD68" s="5"/>
      <c r="AF68" s="8"/>
      <c r="AG68" s="5"/>
      <c r="AH68" s="5"/>
      <c r="AI68" s="5"/>
      <c r="AJ68" s="5"/>
      <c r="AK68" s="5"/>
    </row>
    <row r="69" spans="7:105" x14ac:dyDescent="0.2">
      <c r="G69" t="s">
        <v>416</v>
      </c>
      <c r="H69" s="1">
        <f>B33</f>
        <v>157680</v>
      </c>
      <c r="I69" t="s">
        <v>381</v>
      </c>
      <c r="AF69" s="12"/>
      <c r="AG69" s="5"/>
      <c r="AH69" s="5"/>
      <c r="AI69" s="5"/>
      <c r="AJ69" s="5"/>
      <c r="AK69" s="5"/>
      <c r="BW69" s="1"/>
    </row>
    <row r="70" spans="7:105" x14ac:dyDescent="0.2">
      <c r="G70" t="s">
        <v>435</v>
      </c>
      <c r="H70" s="1">
        <f>B59</f>
        <v>0.23076923076923078</v>
      </c>
      <c r="AF70" s="8"/>
      <c r="AG70" s="5"/>
      <c r="AH70" s="5"/>
      <c r="AI70" s="5"/>
      <c r="AJ70" s="5"/>
      <c r="AK70" s="5"/>
    </row>
    <row r="71" spans="7:105" x14ac:dyDescent="0.2">
      <c r="G71" t="s">
        <v>434</v>
      </c>
      <c r="H71" s="1">
        <f>B60</f>
        <v>0.76923076923076927</v>
      </c>
      <c r="AF71" s="13"/>
      <c r="AG71" s="5"/>
      <c r="AH71" s="5"/>
      <c r="AI71" s="5"/>
      <c r="AJ71" s="5"/>
      <c r="AK71" s="5"/>
    </row>
    <row r="72" spans="7:105" x14ac:dyDescent="0.2">
      <c r="AF72" s="8"/>
      <c r="AG72" s="5"/>
      <c r="AH72" s="5"/>
      <c r="AI72" s="5"/>
      <c r="AJ72" s="5"/>
      <c r="AK72" s="5"/>
    </row>
    <row r="73" spans="7:105" x14ac:dyDescent="0.2">
      <c r="AF73" s="8"/>
      <c r="AG73" s="5"/>
      <c r="AH73" s="5"/>
      <c r="AI73" s="5"/>
      <c r="AJ73" s="5"/>
      <c r="AK73" s="5"/>
    </row>
    <row r="74" spans="7:105" x14ac:dyDescent="0.2">
      <c r="AF74" s="8"/>
      <c r="AG74" s="5"/>
      <c r="AH74" s="5"/>
      <c r="AI74" s="5"/>
      <c r="AJ74" s="5"/>
      <c r="AK74" s="5"/>
    </row>
    <row r="75" spans="7:105" x14ac:dyDescent="0.2">
      <c r="AF75" s="5"/>
      <c r="AG75" s="5"/>
      <c r="AH75" s="5"/>
      <c r="AI75" s="5"/>
      <c r="AJ75" s="5"/>
      <c r="AK75" s="5"/>
    </row>
    <row r="76" spans="7:105" x14ac:dyDescent="0.2">
      <c r="AF76" s="8"/>
      <c r="AG76" s="5"/>
      <c r="AH76" s="5"/>
      <c r="AI76" s="5"/>
      <c r="AJ76" s="5"/>
      <c r="AK76" s="5"/>
    </row>
    <row r="77" spans="7:105" x14ac:dyDescent="0.2">
      <c r="AF77" s="8"/>
      <c r="AG77" s="5"/>
      <c r="AH77" s="5"/>
      <c r="AI77" s="5"/>
      <c r="AJ77" s="5"/>
      <c r="AK77" s="5"/>
    </row>
    <row r="78" spans="7:105" ht="12.75" customHeight="1" x14ac:dyDescent="0.2">
      <c r="AF78" s="8"/>
      <c r="AG78" s="5"/>
    </row>
    <row r="79" spans="7:105" x14ac:dyDescent="0.2">
      <c r="AF79" s="8"/>
      <c r="AG79" s="5"/>
      <c r="AH79" s="5"/>
      <c r="AI79" s="5"/>
      <c r="AJ79" s="5"/>
      <c r="AK79" s="5"/>
    </row>
    <row r="80" spans="7:105" x14ac:dyDescent="0.2">
      <c r="AF80" s="8"/>
      <c r="AG80" s="5"/>
      <c r="AH80" s="5"/>
      <c r="AI80" s="5"/>
      <c r="AJ80" s="5"/>
      <c r="AK80" s="5"/>
    </row>
    <row r="81" spans="32:37" x14ac:dyDescent="0.2">
      <c r="AF81" s="8"/>
      <c r="AG81" s="5"/>
      <c r="AH81" s="5"/>
      <c r="AI81" s="5"/>
      <c r="AJ81" s="5"/>
      <c r="AK81" s="5"/>
    </row>
    <row r="82" spans="32:37" x14ac:dyDescent="0.2">
      <c r="AF82" s="8"/>
      <c r="AG82" s="5"/>
      <c r="AH82" s="5"/>
      <c r="AI82" s="5"/>
      <c r="AJ82" s="5"/>
      <c r="AK82" s="5"/>
    </row>
    <row r="83" spans="32:37" x14ac:dyDescent="0.2">
      <c r="AF83" s="5"/>
      <c r="AG83" s="5"/>
    </row>
    <row r="84" spans="32:37" x14ac:dyDescent="0.2">
      <c r="AF84" s="5"/>
      <c r="AG84" s="5"/>
      <c r="AH84" s="5"/>
      <c r="AI84" s="5"/>
      <c r="AJ84" s="5"/>
      <c r="AK84" s="5"/>
    </row>
    <row r="85" spans="32:37" x14ac:dyDescent="0.2">
      <c r="AF85" s="5"/>
      <c r="AG85" s="5"/>
    </row>
    <row r="86" spans="32:37" x14ac:dyDescent="0.2">
      <c r="AH86" s="5"/>
      <c r="AI86" s="5"/>
      <c r="AJ86" s="5"/>
      <c r="AK86" s="5"/>
    </row>
  </sheetData>
  <mergeCells count="6">
    <mergeCell ref="A1:C1"/>
    <mergeCell ref="A4:C4"/>
    <mergeCell ref="CH34:CL37"/>
    <mergeCell ref="BK36:BO39"/>
    <mergeCell ref="AF43:AH45"/>
    <mergeCell ref="A13:C16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F86"/>
  <sheetViews>
    <sheetView workbookViewId="0">
      <pane xSplit="3" topLeftCell="D1" activePane="topRight" state="frozen"/>
      <selection pane="topRight" activeCell="D1" sqref="D1"/>
    </sheetView>
  </sheetViews>
  <sheetFormatPr defaultRowHeight="12.75" x14ac:dyDescent="0.2"/>
  <cols>
    <col min="1" max="1" width="14.42578125" bestFit="1" customWidth="1"/>
    <col min="3" max="3" width="14.28515625" bestFit="1" customWidth="1"/>
    <col min="4" max="4" width="8.5703125" customWidth="1"/>
    <col min="5" max="5" width="12.5703125" customWidth="1"/>
    <col min="6" max="6" width="19" customWidth="1"/>
    <col min="7" max="7" width="10" customWidth="1"/>
    <col min="8" max="8" width="12" customWidth="1"/>
    <col min="9" max="9" width="13.28515625" customWidth="1"/>
    <col min="10" max="10" width="10" customWidth="1"/>
    <col min="11" max="11" width="12.85546875" customWidth="1"/>
    <col min="12" max="12" width="14.28515625" customWidth="1"/>
    <col min="13" max="13" width="10.42578125" customWidth="1"/>
    <col min="14" max="14" width="11.5703125" customWidth="1"/>
    <col min="15" max="15" width="15.42578125" customWidth="1"/>
    <col min="16" max="16" width="10.42578125" customWidth="1"/>
    <col min="17" max="17" width="8.85546875" customWidth="1"/>
    <col min="18" max="18" width="15.42578125" customWidth="1"/>
    <col min="19" max="19" width="10.42578125" customWidth="1"/>
    <col min="20" max="20" width="8.85546875" customWidth="1"/>
    <col min="21" max="21" width="15.42578125" customWidth="1"/>
    <col min="22" max="22" width="8.5703125" customWidth="1"/>
    <col min="23" max="23" width="9" customWidth="1"/>
    <col min="24" max="24" width="16.85546875" customWidth="1"/>
    <col min="25" max="25" width="9.28515625" customWidth="1"/>
    <col min="26" max="26" width="11.140625" customWidth="1"/>
    <col min="27" max="27" width="16.85546875" customWidth="1"/>
    <col min="28" max="28" width="12.85546875" customWidth="1"/>
    <col min="29" max="29" width="17.42578125" customWidth="1"/>
    <col min="30" max="30" width="15.7109375" customWidth="1"/>
    <col min="31" max="31" width="15" customWidth="1"/>
    <col min="32" max="32" width="20.5703125" customWidth="1"/>
    <col min="33" max="33" width="24.28515625" customWidth="1"/>
    <col min="34" max="34" width="15.7109375" customWidth="1"/>
    <col min="35" max="35" width="10.42578125" customWidth="1"/>
    <col min="36" max="36" width="11.5703125" customWidth="1"/>
    <col min="37" max="37" width="15.42578125" customWidth="1"/>
    <col min="38" max="38" width="10.42578125" customWidth="1"/>
    <col min="39" max="39" width="8.85546875" customWidth="1"/>
    <col min="40" max="40" width="15.42578125" customWidth="1"/>
    <col min="41" max="41" width="10.42578125" customWidth="1"/>
    <col min="42" max="42" width="8.85546875" customWidth="1"/>
    <col min="43" max="43" width="15.42578125" customWidth="1"/>
    <col min="44" max="44" width="10.42578125" customWidth="1"/>
    <col min="45" max="45" width="11.5703125" customWidth="1"/>
    <col min="46" max="46" width="15.42578125" customWidth="1"/>
    <col min="47" max="47" width="10.42578125" customWidth="1"/>
    <col min="48" max="48" width="8.85546875" customWidth="1"/>
    <col min="49" max="49" width="15.42578125" customWidth="1"/>
    <col min="50" max="50" width="10.42578125" bestFit="1" customWidth="1"/>
    <col min="51" max="51" width="8.85546875" customWidth="1"/>
    <col min="52" max="52" width="15.42578125" customWidth="1"/>
    <col min="53" max="53" width="10.42578125" bestFit="1" customWidth="1"/>
    <col min="54" max="54" width="11.5703125" bestFit="1" customWidth="1"/>
    <col min="55" max="55" width="15.42578125" bestFit="1" customWidth="1"/>
    <col min="56" max="56" width="10.42578125" bestFit="1" customWidth="1"/>
    <col min="57" max="57" width="8.85546875" bestFit="1" customWidth="1"/>
    <col min="58" max="58" width="15.42578125" bestFit="1" customWidth="1"/>
    <col min="59" max="59" width="10.42578125" bestFit="1" customWidth="1"/>
    <col min="60" max="60" width="8.85546875" bestFit="1" customWidth="1"/>
    <col min="61" max="61" width="15.42578125" bestFit="1" customWidth="1"/>
    <col min="62" max="62" width="10.42578125" bestFit="1" customWidth="1"/>
    <col min="63" max="63" width="11.5703125" bestFit="1" customWidth="1"/>
    <col min="64" max="64" width="15.42578125" bestFit="1" customWidth="1"/>
    <col min="65" max="65" width="10.42578125" bestFit="1" customWidth="1"/>
    <col min="66" max="66" width="8.85546875" bestFit="1" customWidth="1"/>
    <col min="67" max="67" width="15.42578125" bestFit="1" customWidth="1"/>
    <col min="68" max="68" width="10.42578125" bestFit="1" customWidth="1"/>
    <col min="69" max="69" width="8.85546875" bestFit="1" customWidth="1"/>
    <col min="70" max="70" width="15.42578125" bestFit="1" customWidth="1"/>
    <col min="71" max="71" width="8.5703125" customWidth="1"/>
    <col min="72" max="72" width="10.5703125" bestFit="1" customWidth="1"/>
    <col min="73" max="73" width="19" bestFit="1" customWidth="1"/>
    <col min="74" max="75" width="12" bestFit="1" customWidth="1"/>
    <col min="76" max="76" width="10.42578125" bestFit="1" customWidth="1"/>
    <col min="77" max="77" width="10" bestFit="1" customWidth="1"/>
    <col min="78" max="78" width="11.28515625" bestFit="1" customWidth="1"/>
    <col min="79" max="79" width="14.28515625" customWidth="1"/>
    <col min="80" max="82" width="15.42578125" customWidth="1"/>
    <col min="83" max="83" width="10.42578125" bestFit="1" customWidth="1"/>
    <col min="84" max="84" width="8.85546875" bestFit="1" customWidth="1"/>
    <col min="85" max="85" width="15.42578125" bestFit="1" customWidth="1"/>
    <col min="86" max="86" width="10.42578125" bestFit="1" customWidth="1"/>
    <col min="87" max="87" width="8.85546875" bestFit="1" customWidth="1"/>
    <col min="88" max="88" width="15.42578125" bestFit="1" customWidth="1"/>
    <col min="89" max="89" width="9" bestFit="1" customWidth="1"/>
    <col min="90" max="90" width="8.85546875" bestFit="1" customWidth="1"/>
    <col min="91" max="91" width="8.140625" bestFit="1" customWidth="1"/>
    <col min="92" max="92" width="9.85546875" bestFit="1" customWidth="1"/>
    <col min="93" max="93" width="8.85546875" bestFit="1" customWidth="1"/>
    <col min="94" max="94" width="7.42578125" bestFit="1" customWidth="1"/>
    <col min="95" max="95" width="9.42578125" bestFit="1" customWidth="1"/>
    <col min="96" max="96" width="8.85546875" bestFit="1" customWidth="1"/>
    <col min="97" max="97" width="7.42578125" bestFit="1" customWidth="1"/>
    <col min="98" max="98" width="10" bestFit="1" customWidth="1"/>
    <col min="99" max="99" width="12.85546875" bestFit="1" customWidth="1"/>
    <col min="100" max="100" width="14.28515625" customWidth="1"/>
    <col min="101" max="101" width="8.5703125" customWidth="1"/>
    <col min="102" max="102" width="10.5703125" bestFit="1" customWidth="1"/>
    <col min="103" max="103" width="16.85546875" bestFit="1" customWidth="1"/>
    <col min="104" max="104" width="10.42578125" bestFit="1" customWidth="1"/>
    <col min="105" max="105" width="11.28515625" bestFit="1" customWidth="1"/>
    <col min="106" max="106" width="9.42578125" customWidth="1"/>
    <col min="107" max="107" width="9.140625" customWidth="1"/>
    <col min="108" max="108" width="11.28515625" bestFit="1" customWidth="1"/>
    <col min="109" max="109" width="9.140625" customWidth="1"/>
    <col min="110" max="110" width="9.85546875" bestFit="1" customWidth="1"/>
    <col min="111" max="111" width="12" customWidth="1"/>
    <col min="112" max="112" width="9.42578125" customWidth="1"/>
    <col min="113" max="113" width="7.5703125" bestFit="1" customWidth="1"/>
    <col min="114" max="114" width="8.28515625" bestFit="1" customWidth="1"/>
    <col min="115" max="115" width="7.42578125" bestFit="1" customWidth="1"/>
    <col min="116" max="116" width="7.5703125" bestFit="1" customWidth="1"/>
    <col min="117" max="117" width="8.28515625" bestFit="1" customWidth="1"/>
    <col min="118" max="118" width="7.42578125" bestFit="1" customWidth="1"/>
    <col min="119" max="119" width="9.85546875" bestFit="1" customWidth="1"/>
    <col min="120" max="120" width="12" customWidth="1"/>
    <col min="121" max="121" width="9.42578125" customWidth="1"/>
    <col min="122" max="122" width="8" bestFit="1" customWidth="1"/>
    <col min="123" max="123" width="12.85546875" bestFit="1" customWidth="1"/>
    <col min="124" max="124" width="9.140625" customWidth="1"/>
    <col min="125" max="125" width="8.85546875" bestFit="1" customWidth="1"/>
    <col min="126" max="126" width="8.85546875" customWidth="1"/>
    <col min="127" max="127" width="7.42578125" bestFit="1" customWidth="1"/>
    <col min="128" max="128" width="6.28515625" customWidth="1"/>
    <col min="129" max="129" width="8.85546875" customWidth="1"/>
    <col min="130" max="130" width="7.42578125" bestFit="1" customWidth="1"/>
    <col min="131" max="131" width="6.28515625" customWidth="1"/>
    <col min="132" max="132" width="8.85546875" customWidth="1"/>
    <col min="133" max="133" width="7.42578125" bestFit="1" customWidth="1"/>
    <col min="134" max="134" width="9.85546875" bestFit="1" customWidth="1"/>
    <col min="135" max="135" width="9.42578125" bestFit="1" customWidth="1"/>
    <col min="136" max="136" width="7.42578125" bestFit="1" customWidth="1"/>
    <col min="137" max="137" width="8" bestFit="1" customWidth="1"/>
    <col min="138" max="138" width="12.85546875" bestFit="1" customWidth="1"/>
    <col min="139" max="139" width="9.140625" customWidth="1"/>
    <col min="140" max="140" width="8.28515625" customWidth="1"/>
    <col min="141" max="141" width="8.85546875" customWidth="1"/>
    <col min="142" max="142" width="7.42578125" bestFit="1" customWidth="1"/>
    <col min="143" max="143" width="6.28515625" customWidth="1"/>
    <col min="144" max="144" width="8.85546875" customWidth="1"/>
    <col min="145" max="145" width="7.42578125" bestFit="1" customWidth="1"/>
    <col min="146" max="146" width="6.28515625" customWidth="1"/>
    <col min="147" max="147" width="8.85546875" customWidth="1"/>
    <col min="148" max="148" width="7.42578125" bestFit="1" customWidth="1"/>
    <col min="149" max="149" width="9.85546875" bestFit="1" customWidth="1"/>
    <col min="150" max="150" width="9.42578125" bestFit="1" customWidth="1"/>
    <col min="151" max="151" width="7.42578125" bestFit="1" customWidth="1"/>
    <col min="152" max="152" width="8" bestFit="1" customWidth="1"/>
    <col min="153" max="153" width="11.28515625" bestFit="1" customWidth="1"/>
    <col min="154" max="154" width="9.140625" customWidth="1"/>
    <col min="155" max="155" width="7.85546875" bestFit="1" customWidth="1"/>
    <col min="156" max="156" width="8.85546875" customWidth="1"/>
    <col min="157" max="157" width="7.42578125" bestFit="1" customWidth="1"/>
    <col min="158" max="158" width="8.28515625" bestFit="1" customWidth="1"/>
    <col min="159" max="159" width="8.85546875" bestFit="1" customWidth="1"/>
    <col min="160" max="160" width="7.42578125" bestFit="1" customWidth="1"/>
    <col min="161" max="162" width="8.28515625" bestFit="1" customWidth="1"/>
    <col min="163" max="163" width="7.42578125" bestFit="1" customWidth="1"/>
    <col min="164" max="164" width="9.85546875" bestFit="1" customWidth="1"/>
    <col min="165" max="165" width="9" bestFit="1" customWidth="1"/>
    <col min="166" max="166" width="7.42578125" bestFit="1" customWidth="1"/>
    <col min="167" max="167" width="8.28515625" bestFit="1" customWidth="1"/>
    <col min="168" max="168" width="12.85546875" bestFit="1" customWidth="1"/>
    <col min="169" max="169" width="9.140625" customWidth="1"/>
    <col min="170" max="170" width="7.7109375" customWidth="1"/>
    <col min="171" max="171" width="8.28515625" customWidth="1"/>
    <col min="172" max="172" width="7.42578125" customWidth="1"/>
    <col min="173" max="173" width="6.5703125" customWidth="1"/>
    <col min="174" max="174" width="9" customWidth="1"/>
    <col min="175" max="175" width="7.42578125" customWidth="1"/>
    <col min="176" max="176" width="6.5703125" customWidth="1"/>
    <col min="177" max="177" width="9" customWidth="1"/>
    <col min="178" max="178" width="7.42578125" customWidth="1"/>
    <col min="179" max="179" width="9.85546875" customWidth="1"/>
    <col min="180" max="180" width="9" customWidth="1"/>
    <col min="181" max="181" width="7.42578125" customWidth="1"/>
    <col min="182" max="182" width="8" customWidth="1"/>
    <col min="183" max="183" width="12.85546875" bestFit="1" customWidth="1"/>
    <col min="184" max="184" width="9.140625" customWidth="1"/>
    <col min="185" max="185" width="6.85546875" customWidth="1"/>
    <col min="186" max="186" width="8.85546875" customWidth="1"/>
    <col min="187" max="187" width="7.42578125" customWidth="1"/>
    <col min="188" max="188" width="7.28515625" customWidth="1"/>
    <col min="189" max="189" width="8.85546875" customWidth="1"/>
    <col min="190" max="190" width="7.42578125" customWidth="1"/>
    <col min="191" max="191" width="7.28515625" customWidth="1"/>
    <col min="192" max="192" width="8.28515625" customWidth="1"/>
    <col min="193" max="193" width="7.42578125" customWidth="1"/>
    <col min="194" max="194" width="9.85546875" customWidth="1"/>
    <col min="195" max="195" width="9" customWidth="1"/>
    <col min="196" max="196" width="7.42578125" customWidth="1"/>
    <col min="197" max="197" width="9.7109375" bestFit="1" customWidth="1"/>
    <col min="198" max="198" width="12" bestFit="1" customWidth="1"/>
    <col min="199" max="199" width="9.140625" customWidth="1"/>
    <col min="200" max="200" width="9.5703125" bestFit="1" customWidth="1"/>
    <col min="201" max="201" width="8.85546875" bestFit="1" customWidth="1"/>
    <col min="202" max="202" width="7.42578125" bestFit="1" customWidth="1"/>
    <col min="203" max="203" width="7.5703125" bestFit="1" customWidth="1"/>
    <col min="204" max="204" width="8.85546875" bestFit="1" customWidth="1"/>
    <col min="205" max="205" width="7.42578125" bestFit="1" customWidth="1"/>
    <col min="206" max="206" width="7.5703125" bestFit="1" customWidth="1"/>
    <col min="207" max="207" width="8.85546875" bestFit="1" customWidth="1"/>
    <col min="208" max="208" width="7.42578125" bestFit="1" customWidth="1"/>
    <col min="209" max="209" width="9.85546875" bestFit="1" customWidth="1"/>
    <col min="210" max="210" width="9" bestFit="1" customWidth="1"/>
    <col min="211" max="211" width="7.42578125" bestFit="1" customWidth="1"/>
    <col min="212" max="212" width="10.28515625" bestFit="1" customWidth="1"/>
    <col min="213" max="213" width="9" bestFit="1" customWidth="1"/>
    <col min="214" max="214" width="12.5703125" bestFit="1" customWidth="1"/>
  </cols>
  <sheetData>
    <row r="1" spans="1:214" ht="13.9" customHeight="1" thickTop="1" thickBot="1" x14ac:dyDescent="0.25">
      <c r="A1" s="439" t="s">
        <v>424</v>
      </c>
      <c r="B1" s="440"/>
      <c r="C1" s="441"/>
      <c r="D1" s="98" t="s">
        <v>3</v>
      </c>
      <c r="E1" s="99"/>
      <c r="F1" s="99" t="s">
        <v>0</v>
      </c>
      <c r="G1" s="260" t="s">
        <v>3</v>
      </c>
      <c r="H1" s="114"/>
      <c r="I1" s="114" t="s">
        <v>0</v>
      </c>
      <c r="J1" s="257" t="s">
        <v>3</v>
      </c>
      <c r="K1" s="104"/>
      <c r="L1" s="105" t="s">
        <v>0</v>
      </c>
      <c r="M1" s="117" t="s">
        <v>13</v>
      </c>
      <c r="N1" s="118" t="s">
        <v>14</v>
      </c>
      <c r="O1" s="118" t="s">
        <v>0</v>
      </c>
      <c r="P1" s="252" t="s">
        <v>13</v>
      </c>
      <c r="Q1" s="118" t="s">
        <v>141</v>
      </c>
      <c r="R1" s="118" t="s">
        <v>0</v>
      </c>
      <c r="S1" s="252" t="s">
        <v>13</v>
      </c>
      <c r="T1" s="118" t="s">
        <v>16</v>
      </c>
      <c r="U1" s="119" t="s">
        <v>0</v>
      </c>
      <c r="V1" s="88" t="s">
        <v>1</v>
      </c>
      <c r="W1" s="89" t="s">
        <v>2</v>
      </c>
      <c r="X1" s="89" t="s">
        <v>0</v>
      </c>
      <c r="Y1" s="248" t="s">
        <v>1</v>
      </c>
      <c r="Z1" s="89" t="s">
        <v>4</v>
      </c>
      <c r="AA1" s="90" t="s">
        <v>0</v>
      </c>
      <c r="AB1" s="149" t="s">
        <v>1</v>
      </c>
      <c r="AC1" s="243" t="s">
        <v>4</v>
      </c>
      <c r="AD1" s="240" t="s">
        <v>5</v>
      </c>
      <c r="AE1" s="243" t="s">
        <v>2</v>
      </c>
      <c r="AF1" s="243" t="s">
        <v>7</v>
      </c>
      <c r="AG1" s="240" t="s">
        <v>6</v>
      </c>
      <c r="AH1" s="163" t="s">
        <v>15</v>
      </c>
      <c r="AI1" s="133" t="s">
        <v>13</v>
      </c>
      <c r="AJ1" s="134" t="s">
        <v>14</v>
      </c>
      <c r="AK1" s="134" t="s">
        <v>0</v>
      </c>
      <c r="AL1" s="233" t="s">
        <v>13</v>
      </c>
      <c r="AM1" s="134" t="s">
        <v>141</v>
      </c>
      <c r="AN1" s="134" t="s">
        <v>0</v>
      </c>
      <c r="AO1" s="233" t="s">
        <v>13</v>
      </c>
      <c r="AP1" s="134" t="s">
        <v>16</v>
      </c>
      <c r="AQ1" s="135" t="s">
        <v>0</v>
      </c>
      <c r="AR1" s="141" t="s">
        <v>13</v>
      </c>
      <c r="AS1" s="142" t="s">
        <v>14</v>
      </c>
      <c r="AT1" s="142" t="s">
        <v>0</v>
      </c>
      <c r="AU1" s="236" t="s">
        <v>13</v>
      </c>
      <c r="AV1" s="142" t="s">
        <v>141</v>
      </c>
      <c r="AW1" s="142" t="s">
        <v>0</v>
      </c>
      <c r="AX1" s="236" t="s">
        <v>13</v>
      </c>
      <c r="AY1" s="142" t="s">
        <v>16</v>
      </c>
      <c r="AZ1" s="143" t="s">
        <v>0</v>
      </c>
      <c r="BA1" s="141" t="s">
        <v>13</v>
      </c>
      <c r="BB1" s="142" t="s">
        <v>14</v>
      </c>
      <c r="BC1" s="142" t="s">
        <v>0</v>
      </c>
      <c r="BD1" s="236" t="s">
        <v>13</v>
      </c>
      <c r="BE1" s="142" t="s">
        <v>141</v>
      </c>
      <c r="BF1" s="142" t="s">
        <v>0</v>
      </c>
      <c r="BG1" s="236" t="s">
        <v>13</v>
      </c>
      <c r="BH1" s="142" t="s">
        <v>16</v>
      </c>
      <c r="BI1" s="143" t="s">
        <v>0</v>
      </c>
      <c r="BJ1" s="141" t="s">
        <v>13</v>
      </c>
      <c r="BK1" s="142" t="s">
        <v>14</v>
      </c>
      <c r="BL1" s="142" t="s">
        <v>0</v>
      </c>
      <c r="BM1" s="236" t="s">
        <v>13</v>
      </c>
      <c r="BN1" s="142" t="s">
        <v>141</v>
      </c>
      <c r="BO1" s="142" t="s">
        <v>0</v>
      </c>
      <c r="BP1" s="236" t="s">
        <v>13</v>
      </c>
      <c r="BQ1" s="142" t="s">
        <v>16</v>
      </c>
      <c r="BR1" s="143" t="s">
        <v>0</v>
      </c>
      <c r="BS1" s="230" t="s">
        <v>8</v>
      </c>
      <c r="BT1" s="76"/>
      <c r="BU1" s="76" t="s">
        <v>0</v>
      </c>
      <c r="BV1" s="230" t="s">
        <v>8</v>
      </c>
      <c r="BW1" s="76"/>
      <c r="BX1" s="76" t="s">
        <v>0</v>
      </c>
      <c r="BY1" s="230" t="s">
        <v>397</v>
      </c>
      <c r="BZ1" s="76"/>
      <c r="CA1" s="76" t="s">
        <v>0</v>
      </c>
      <c r="CB1" s="230" t="s">
        <v>8</v>
      </c>
      <c r="CC1" s="76" t="s">
        <v>14</v>
      </c>
      <c r="CD1" s="76" t="s">
        <v>0</v>
      </c>
      <c r="CE1" s="230" t="s">
        <v>8</v>
      </c>
      <c r="CF1" s="76" t="s">
        <v>141</v>
      </c>
      <c r="CG1" s="76" t="s">
        <v>0</v>
      </c>
      <c r="CH1" s="230" t="s">
        <v>8</v>
      </c>
      <c r="CI1" s="76" t="s">
        <v>16</v>
      </c>
      <c r="CJ1" s="77" t="s">
        <v>0</v>
      </c>
      <c r="CK1" s="230" t="s">
        <v>8</v>
      </c>
      <c r="CL1" s="76" t="s">
        <v>301</v>
      </c>
      <c r="CM1" s="77" t="s">
        <v>0</v>
      </c>
      <c r="CN1" s="230" t="s">
        <v>8</v>
      </c>
      <c r="CO1" s="76" t="s">
        <v>301</v>
      </c>
      <c r="CP1" s="77" t="s">
        <v>0</v>
      </c>
      <c r="CQ1" s="230" t="s">
        <v>8</v>
      </c>
      <c r="CR1" s="76" t="s">
        <v>301</v>
      </c>
      <c r="CS1" s="77" t="s">
        <v>0</v>
      </c>
      <c r="CT1" s="382" t="s">
        <v>295</v>
      </c>
      <c r="CU1" s="383"/>
      <c r="CV1" s="384" t="s">
        <v>0</v>
      </c>
      <c r="CW1" s="265" t="s">
        <v>295</v>
      </c>
      <c r="CX1" s="174"/>
      <c r="CY1" s="174" t="s">
        <v>0</v>
      </c>
      <c r="CZ1" s="268" t="s">
        <v>9</v>
      </c>
      <c r="DA1" s="178"/>
      <c r="DB1" s="179" t="s">
        <v>0</v>
      </c>
      <c r="DC1" s="307" t="s">
        <v>9</v>
      </c>
      <c r="DD1" s="307"/>
      <c r="DE1" s="307" t="s">
        <v>15</v>
      </c>
      <c r="DF1" s="27" t="s">
        <v>9</v>
      </c>
      <c r="DG1" s="28" t="s">
        <v>10</v>
      </c>
      <c r="DH1" s="28" t="s">
        <v>15</v>
      </c>
      <c r="DI1" s="226" t="s">
        <v>9</v>
      </c>
      <c r="DJ1" s="28" t="s">
        <v>11</v>
      </c>
      <c r="DK1" s="28" t="s">
        <v>15</v>
      </c>
      <c r="DL1" s="226" t="s">
        <v>9</v>
      </c>
      <c r="DM1" s="28" t="s">
        <v>12</v>
      </c>
      <c r="DN1" s="28" t="s">
        <v>15</v>
      </c>
      <c r="DO1" s="226" t="s">
        <v>9</v>
      </c>
      <c r="DP1" s="28" t="s">
        <v>12</v>
      </c>
      <c r="DQ1" s="29" t="s">
        <v>15</v>
      </c>
      <c r="DR1" s="23" t="s">
        <v>9</v>
      </c>
      <c r="DS1" s="23"/>
      <c r="DT1" s="23" t="s">
        <v>15</v>
      </c>
      <c r="DU1" s="315" t="s">
        <v>9</v>
      </c>
      <c r="DV1" s="316" t="s">
        <v>10</v>
      </c>
      <c r="DW1" s="316" t="s">
        <v>15</v>
      </c>
      <c r="DX1" s="317" t="s">
        <v>9</v>
      </c>
      <c r="DY1" s="316" t="s">
        <v>11</v>
      </c>
      <c r="DZ1" s="316" t="s">
        <v>15</v>
      </c>
      <c r="EA1" s="317" t="s">
        <v>9</v>
      </c>
      <c r="EB1" s="316" t="s">
        <v>12</v>
      </c>
      <c r="EC1" s="316" t="s">
        <v>15</v>
      </c>
      <c r="ED1" s="317" t="s">
        <v>9</v>
      </c>
      <c r="EE1" s="316" t="s">
        <v>12</v>
      </c>
      <c r="EF1" s="318" t="s">
        <v>15</v>
      </c>
      <c r="EG1" s="18" t="s">
        <v>9</v>
      </c>
      <c r="EH1" s="18"/>
      <c r="EI1" s="18" t="s">
        <v>15</v>
      </c>
      <c r="EJ1" s="332" t="s">
        <v>9</v>
      </c>
      <c r="EK1" s="333" t="s">
        <v>10</v>
      </c>
      <c r="EL1" s="333" t="s">
        <v>15</v>
      </c>
      <c r="EM1" s="334" t="s">
        <v>9</v>
      </c>
      <c r="EN1" s="333" t="s">
        <v>11</v>
      </c>
      <c r="EO1" s="333" t="s">
        <v>15</v>
      </c>
      <c r="EP1" s="334" t="s">
        <v>9</v>
      </c>
      <c r="EQ1" s="333" t="s">
        <v>12</v>
      </c>
      <c r="ER1" s="333" t="s">
        <v>15</v>
      </c>
      <c r="ES1" s="334" t="s">
        <v>9</v>
      </c>
      <c r="ET1" s="333" t="s">
        <v>12</v>
      </c>
      <c r="EU1" s="335" t="s">
        <v>15</v>
      </c>
      <c r="EV1" s="37" t="s">
        <v>9</v>
      </c>
      <c r="EW1" s="37"/>
      <c r="EX1" s="37" t="s">
        <v>15</v>
      </c>
      <c r="EY1" s="192" t="s">
        <v>9</v>
      </c>
      <c r="EZ1" s="193" t="s">
        <v>10</v>
      </c>
      <c r="FA1" s="193" t="s">
        <v>15</v>
      </c>
      <c r="FB1" s="221" t="s">
        <v>9</v>
      </c>
      <c r="FC1" s="193" t="s">
        <v>11</v>
      </c>
      <c r="FD1" s="193" t="s">
        <v>15</v>
      </c>
      <c r="FE1" s="221" t="s">
        <v>9</v>
      </c>
      <c r="FF1" s="193" t="s">
        <v>12</v>
      </c>
      <c r="FG1" s="193" t="s">
        <v>15</v>
      </c>
      <c r="FH1" s="221" t="s">
        <v>9</v>
      </c>
      <c r="FI1" s="193" t="s">
        <v>12</v>
      </c>
      <c r="FJ1" s="194" t="s">
        <v>15</v>
      </c>
      <c r="FK1" s="41" t="s">
        <v>9</v>
      </c>
      <c r="FL1" s="42"/>
      <c r="FM1" s="43" t="s">
        <v>15</v>
      </c>
      <c r="FN1" s="204" t="s">
        <v>9</v>
      </c>
      <c r="FO1" s="205" t="s">
        <v>10</v>
      </c>
      <c r="FP1" s="205" t="s">
        <v>15</v>
      </c>
      <c r="FQ1" s="216" t="s">
        <v>9</v>
      </c>
      <c r="FR1" s="205" t="s">
        <v>11</v>
      </c>
      <c r="FS1" s="205" t="s">
        <v>15</v>
      </c>
      <c r="FT1" s="216" t="s">
        <v>9</v>
      </c>
      <c r="FU1" s="205" t="s">
        <v>12</v>
      </c>
      <c r="FV1" s="205" t="s">
        <v>15</v>
      </c>
      <c r="FW1" s="216" t="s">
        <v>9</v>
      </c>
      <c r="FX1" s="205" t="s">
        <v>12</v>
      </c>
      <c r="FY1" s="206" t="s">
        <v>15</v>
      </c>
      <c r="FZ1" s="53" t="s">
        <v>9</v>
      </c>
      <c r="GA1" s="54"/>
      <c r="GB1" s="55" t="s">
        <v>15</v>
      </c>
      <c r="GC1" s="272" t="s">
        <v>9</v>
      </c>
      <c r="GD1" s="273" t="s">
        <v>10</v>
      </c>
      <c r="GE1" s="273" t="s">
        <v>15</v>
      </c>
      <c r="GF1" s="284" t="s">
        <v>9</v>
      </c>
      <c r="GG1" s="273" t="s">
        <v>11</v>
      </c>
      <c r="GH1" s="273" t="s">
        <v>15</v>
      </c>
      <c r="GI1" s="284" t="s">
        <v>9</v>
      </c>
      <c r="GJ1" s="273" t="s">
        <v>12</v>
      </c>
      <c r="GK1" s="273" t="s">
        <v>15</v>
      </c>
      <c r="GL1" s="284" t="s">
        <v>9</v>
      </c>
      <c r="GM1" s="273" t="s">
        <v>12</v>
      </c>
      <c r="GN1" s="274" t="s">
        <v>15</v>
      </c>
      <c r="GO1" s="65" t="s">
        <v>9</v>
      </c>
      <c r="GP1" s="66"/>
      <c r="GQ1" s="67" t="s">
        <v>15</v>
      </c>
      <c r="GR1" s="288" t="s">
        <v>9</v>
      </c>
      <c r="GS1" s="289" t="s">
        <v>10</v>
      </c>
      <c r="GT1" s="289" t="s">
        <v>15</v>
      </c>
      <c r="GU1" s="296" t="s">
        <v>9</v>
      </c>
      <c r="GV1" s="289" t="s">
        <v>11</v>
      </c>
      <c r="GW1" s="289" t="s">
        <v>15</v>
      </c>
      <c r="GX1" s="296" t="s">
        <v>9</v>
      </c>
      <c r="GY1" s="289" t="s">
        <v>12</v>
      </c>
      <c r="GZ1" s="289" t="s">
        <v>15</v>
      </c>
      <c r="HA1" s="296" t="s">
        <v>9</v>
      </c>
      <c r="HB1" s="289" t="s">
        <v>12</v>
      </c>
      <c r="HC1" s="289" t="s">
        <v>15</v>
      </c>
      <c r="HD1" s="157" t="s">
        <v>456</v>
      </c>
      <c r="HE1" s="158" t="s">
        <v>15</v>
      </c>
      <c r="HF1" s="159" t="s">
        <v>17</v>
      </c>
    </row>
    <row r="2" spans="1:214" ht="13.5" thickTop="1" x14ac:dyDescent="0.2">
      <c r="A2" s="420" t="s">
        <v>465</v>
      </c>
      <c r="B2" s="415">
        <v>8.5099999999999995E-2</v>
      </c>
      <c r="C2" s="416"/>
      <c r="D2" s="101" t="s">
        <v>18</v>
      </c>
      <c r="E2" s="101" t="s">
        <v>456</v>
      </c>
      <c r="F2" s="101" t="s">
        <v>19</v>
      </c>
      <c r="G2" s="261" t="s">
        <v>20</v>
      </c>
      <c r="H2" s="115" t="s">
        <v>456</v>
      </c>
      <c r="I2" s="115" t="s">
        <v>21</v>
      </c>
      <c r="J2" s="258" t="s">
        <v>11</v>
      </c>
      <c r="K2" s="107" t="s">
        <v>456</v>
      </c>
      <c r="L2" s="108" t="s">
        <v>22</v>
      </c>
      <c r="M2" s="120" t="s">
        <v>32</v>
      </c>
      <c r="N2" s="121" t="s">
        <v>33</v>
      </c>
      <c r="O2" s="131" t="s">
        <v>22</v>
      </c>
      <c r="P2" s="253" t="s">
        <v>32</v>
      </c>
      <c r="Q2" s="121" t="s">
        <v>33</v>
      </c>
      <c r="R2" s="131" t="s">
        <v>22</v>
      </c>
      <c r="S2" s="253" t="s">
        <v>32</v>
      </c>
      <c r="T2" s="121" t="s">
        <v>33</v>
      </c>
      <c r="U2" s="122" t="s">
        <v>22</v>
      </c>
      <c r="V2" s="91" t="s">
        <v>18</v>
      </c>
      <c r="W2" s="92" t="s">
        <v>456</v>
      </c>
      <c r="X2" s="92" t="s">
        <v>19</v>
      </c>
      <c r="Y2" s="249" t="s">
        <v>18</v>
      </c>
      <c r="Z2" s="92" t="s">
        <v>456</v>
      </c>
      <c r="AA2" s="93" t="s">
        <v>19</v>
      </c>
      <c r="AB2" s="150" t="s">
        <v>11</v>
      </c>
      <c r="AC2" s="244" t="s">
        <v>456</v>
      </c>
      <c r="AD2" s="83" t="s">
        <v>456</v>
      </c>
      <c r="AE2" s="244" t="s">
        <v>456</v>
      </c>
      <c r="AF2" s="244" t="s">
        <v>456</v>
      </c>
      <c r="AG2" s="83" t="s">
        <v>456</v>
      </c>
      <c r="AH2" s="164" t="s">
        <v>22</v>
      </c>
      <c r="AI2" s="136" t="s">
        <v>5</v>
      </c>
      <c r="AJ2" s="84" t="s">
        <v>34</v>
      </c>
      <c r="AK2" s="151" t="s">
        <v>22</v>
      </c>
      <c r="AL2" s="234" t="s">
        <v>5</v>
      </c>
      <c r="AM2" s="84" t="s">
        <v>34</v>
      </c>
      <c r="AN2" s="151" t="s">
        <v>22</v>
      </c>
      <c r="AO2" s="234" t="s">
        <v>5</v>
      </c>
      <c r="AP2" s="84" t="s">
        <v>34</v>
      </c>
      <c r="AQ2" s="137" t="s">
        <v>22</v>
      </c>
      <c r="AR2" s="144" t="s">
        <v>2</v>
      </c>
      <c r="AS2" s="86" t="s">
        <v>34</v>
      </c>
      <c r="AT2" s="152" t="s">
        <v>22</v>
      </c>
      <c r="AU2" s="237" t="s">
        <v>2</v>
      </c>
      <c r="AV2" s="86" t="s">
        <v>34</v>
      </c>
      <c r="AW2" s="152" t="s">
        <v>22</v>
      </c>
      <c r="AX2" s="237" t="s">
        <v>2</v>
      </c>
      <c r="AY2" s="86" t="s">
        <v>34</v>
      </c>
      <c r="AZ2" s="145" t="s">
        <v>22</v>
      </c>
      <c r="BA2" s="144" t="s">
        <v>4</v>
      </c>
      <c r="BB2" s="86" t="s">
        <v>34</v>
      </c>
      <c r="BC2" s="152" t="s">
        <v>22</v>
      </c>
      <c r="BD2" s="237" t="s">
        <v>4</v>
      </c>
      <c r="BE2" s="86" t="s">
        <v>34</v>
      </c>
      <c r="BF2" s="152" t="s">
        <v>22</v>
      </c>
      <c r="BG2" s="237" t="s">
        <v>4</v>
      </c>
      <c r="BH2" s="86" t="s">
        <v>34</v>
      </c>
      <c r="BI2" s="145" t="s">
        <v>22</v>
      </c>
      <c r="BJ2" s="144" t="s">
        <v>222</v>
      </c>
      <c r="BK2" s="86" t="s">
        <v>34</v>
      </c>
      <c r="BL2" s="152" t="s">
        <v>22</v>
      </c>
      <c r="BM2" s="237" t="s">
        <v>222</v>
      </c>
      <c r="BN2" s="86" t="s">
        <v>34</v>
      </c>
      <c r="BO2" s="152" t="s">
        <v>22</v>
      </c>
      <c r="BP2" s="237" t="s">
        <v>222</v>
      </c>
      <c r="BQ2" s="86" t="s">
        <v>34</v>
      </c>
      <c r="BR2" s="145" t="s">
        <v>22</v>
      </c>
      <c r="BS2" s="231" t="s">
        <v>18</v>
      </c>
      <c r="BT2" s="78" t="s">
        <v>456</v>
      </c>
      <c r="BU2" s="155" t="s">
        <v>19</v>
      </c>
      <c r="BV2" s="231" t="s">
        <v>23</v>
      </c>
      <c r="BW2" s="78" t="s">
        <v>456</v>
      </c>
      <c r="BX2" s="155" t="s">
        <v>21</v>
      </c>
      <c r="BY2" s="231" t="s">
        <v>11</v>
      </c>
      <c r="BZ2" s="78" t="s">
        <v>456</v>
      </c>
      <c r="CA2" s="155" t="s">
        <v>22</v>
      </c>
      <c r="CB2" s="231" t="s">
        <v>32</v>
      </c>
      <c r="CC2" s="78" t="s">
        <v>13</v>
      </c>
      <c r="CD2" s="155" t="s">
        <v>22</v>
      </c>
      <c r="CE2" s="231" t="s">
        <v>32</v>
      </c>
      <c r="CF2" s="78" t="s">
        <v>13</v>
      </c>
      <c r="CG2" s="155" t="s">
        <v>22</v>
      </c>
      <c r="CH2" s="231" t="s">
        <v>32</v>
      </c>
      <c r="CI2" s="78" t="s">
        <v>13</v>
      </c>
      <c r="CJ2" s="79" t="s">
        <v>22</v>
      </c>
      <c r="CK2" s="231" t="s">
        <v>303</v>
      </c>
      <c r="CL2" s="78"/>
      <c r="CM2" s="79" t="s">
        <v>22</v>
      </c>
      <c r="CN2" s="231" t="s">
        <v>11</v>
      </c>
      <c r="CO2" s="78"/>
      <c r="CP2" s="79" t="s">
        <v>22</v>
      </c>
      <c r="CQ2" s="231" t="s">
        <v>10</v>
      </c>
      <c r="CR2" s="78"/>
      <c r="CS2" s="79" t="s">
        <v>22</v>
      </c>
      <c r="CT2" s="385" t="s">
        <v>11</v>
      </c>
      <c r="CU2" s="386" t="s">
        <v>456</v>
      </c>
      <c r="CV2" s="387" t="s">
        <v>22</v>
      </c>
      <c r="CW2" s="266" t="s">
        <v>18</v>
      </c>
      <c r="CX2" s="175" t="s">
        <v>456</v>
      </c>
      <c r="CY2" s="175" t="s">
        <v>19</v>
      </c>
      <c r="CZ2" s="269" t="s">
        <v>20</v>
      </c>
      <c r="DA2" s="180" t="s">
        <v>456</v>
      </c>
      <c r="DB2" s="181" t="s">
        <v>25</v>
      </c>
      <c r="DC2" s="308" t="s">
        <v>26</v>
      </c>
      <c r="DD2" s="308" t="s">
        <v>456</v>
      </c>
      <c r="DE2" s="308" t="s">
        <v>25</v>
      </c>
      <c r="DF2" s="30" t="s">
        <v>26</v>
      </c>
      <c r="DG2" s="31" t="s">
        <v>456</v>
      </c>
      <c r="DH2" s="31" t="s">
        <v>29</v>
      </c>
      <c r="DI2" s="227" t="s">
        <v>26</v>
      </c>
      <c r="DJ2" s="31" t="s">
        <v>456</v>
      </c>
      <c r="DK2" s="31" t="s">
        <v>29</v>
      </c>
      <c r="DL2" s="227" t="s">
        <v>26</v>
      </c>
      <c r="DM2" s="31" t="s">
        <v>30</v>
      </c>
      <c r="DN2" s="31" t="s">
        <v>29</v>
      </c>
      <c r="DO2" s="227" t="s">
        <v>26</v>
      </c>
      <c r="DP2" s="31" t="s">
        <v>31</v>
      </c>
      <c r="DQ2" s="32" t="s">
        <v>29</v>
      </c>
      <c r="DR2" s="24" t="s">
        <v>27</v>
      </c>
      <c r="DS2" s="24" t="s">
        <v>456</v>
      </c>
      <c r="DT2" s="24" t="s">
        <v>25</v>
      </c>
      <c r="DU2" s="319" t="s">
        <v>27</v>
      </c>
      <c r="DV2" s="320" t="s">
        <v>456</v>
      </c>
      <c r="DW2" s="320" t="s">
        <v>29</v>
      </c>
      <c r="DX2" s="314" t="s">
        <v>27</v>
      </c>
      <c r="DY2" s="320" t="s">
        <v>456</v>
      </c>
      <c r="DZ2" s="320" t="s">
        <v>29</v>
      </c>
      <c r="EA2" s="314" t="s">
        <v>27</v>
      </c>
      <c r="EB2" s="320" t="s">
        <v>30</v>
      </c>
      <c r="EC2" s="320" t="s">
        <v>29</v>
      </c>
      <c r="ED2" s="314" t="s">
        <v>27</v>
      </c>
      <c r="EE2" s="320" t="s">
        <v>31</v>
      </c>
      <c r="EF2" s="321" t="s">
        <v>29</v>
      </c>
      <c r="EG2" s="19" t="s">
        <v>28</v>
      </c>
      <c r="EH2" s="19" t="s">
        <v>456</v>
      </c>
      <c r="EI2" s="19" t="s">
        <v>25</v>
      </c>
      <c r="EJ2" s="336" t="s">
        <v>28</v>
      </c>
      <c r="EK2" s="337" t="s">
        <v>456</v>
      </c>
      <c r="EL2" s="337" t="s">
        <v>29</v>
      </c>
      <c r="EM2" s="331" t="s">
        <v>28</v>
      </c>
      <c r="EN2" s="337" t="s">
        <v>456</v>
      </c>
      <c r="EO2" s="337" t="s">
        <v>29</v>
      </c>
      <c r="EP2" s="331" t="s">
        <v>28</v>
      </c>
      <c r="EQ2" s="337" t="s">
        <v>30</v>
      </c>
      <c r="ER2" s="337" t="s">
        <v>29</v>
      </c>
      <c r="ES2" s="331" t="s">
        <v>28</v>
      </c>
      <c r="ET2" s="337" t="s">
        <v>31</v>
      </c>
      <c r="EU2" s="338" t="s">
        <v>29</v>
      </c>
      <c r="EV2" s="38" t="s">
        <v>230</v>
      </c>
      <c r="EW2" s="38" t="s">
        <v>456</v>
      </c>
      <c r="EX2" s="38" t="s">
        <v>25</v>
      </c>
      <c r="EY2" s="195" t="s">
        <v>230</v>
      </c>
      <c r="EZ2" s="196" t="s">
        <v>456</v>
      </c>
      <c r="FA2" s="196" t="s">
        <v>29</v>
      </c>
      <c r="FB2" s="222" t="s">
        <v>230</v>
      </c>
      <c r="FC2" s="196" t="s">
        <v>456</v>
      </c>
      <c r="FD2" s="196" t="s">
        <v>29</v>
      </c>
      <c r="FE2" s="222" t="s">
        <v>230</v>
      </c>
      <c r="FF2" s="196" t="s">
        <v>30</v>
      </c>
      <c r="FG2" s="196" t="s">
        <v>29</v>
      </c>
      <c r="FH2" s="222" t="s">
        <v>230</v>
      </c>
      <c r="FI2" s="196" t="s">
        <v>31</v>
      </c>
      <c r="FJ2" s="197" t="s">
        <v>29</v>
      </c>
      <c r="FK2" s="44" t="s">
        <v>150</v>
      </c>
      <c r="FL2" s="45" t="s">
        <v>456</v>
      </c>
      <c r="FM2" s="46" t="s">
        <v>25</v>
      </c>
      <c r="FN2" s="207" t="s">
        <v>150</v>
      </c>
      <c r="FO2" s="208" t="s">
        <v>456</v>
      </c>
      <c r="FP2" s="208" t="s">
        <v>29</v>
      </c>
      <c r="FQ2" s="217" t="s">
        <v>150</v>
      </c>
      <c r="FR2" s="208" t="s">
        <v>456</v>
      </c>
      <c r="FS2" s="208" t="s">
        <v>29</v>
      </c>
      <c r="FT2" s="217" t="s">
        <v>150</v>
      </c>
      <c r="FU2" s="208" t="s">
        <v>30</v>
      </c>
      <c r="FV2" s="208" t="s">
        <v>29</v>
      </c>
      <c r="FW2" s="217" t="s">
        <v>150</v>
      </c>
      <c r="FX2" s="208" t="s">
        <v>31</v>
      </c>
      <c r="FY2" s="209" t="s">
        <v>29</v>
      </c>
      <c r="FZ2" s="56" t="s">
        <v>231</v>
      </c>
      <c r="GA2" s="57" t="s">
        <v>456</v>
      </c>
      <c r="GB2" s="58" t="s">
        <v>25</v>
      </c>
      <c r="GC2" s="275" t="s">
        <v>231</v>
      </c>
      <c r="GD2" s="276" t="s">
        <v>456</v>
      </c>
      <c r="GE2" s="276" t="s">
        <v>29</v>
      </c>
      <c r="GF2" s="285" t="s">
        <v>231</v>
      </c>
      <c r="GG2" s="276" t="s">
        <v>456</v>
      </c>
      <c r="GH2" s="276" t="s">
        <v>29</v>
      </c>
      <c r="GI2" s="285" t="s">
        <v>231</v>
      </c>
      <c r="GJ2" s="276" t="s">
        <v>30</v>
      </c>
      <c r="GK2" s="276" t="s">
        <v>29</v>
      </c>
      <c r="GL2" s="285" t="s">
        <v>231</v>
      </c>
      <c r="GM2" s="276" t="s">
        <v>31</v>
      </c>
      <c r="GN2" s="277" t="s">
        <v>29</v>
      </c>
      <c r="GO2" s="22" t="s">
        <v>232</v>
      </c>
      <c r="GP2" s="68" t="s">
        <v>456</v>
      </c>
      <c r="GQ2" s="69" t="s">
        <v>25</v>
      </c>
      <c r="GR2" s="290" t="s">
        <v>232</v>
      </c>
      <c r="GS2" s="291" t="s">
        <v>456</v>
      </c>
      <c r="GT2" s="291" t="s">
        <v>29</v>
      </c>
      <c r="GU2" s="297" t="s">
        <v>232</v>
      </c>
      <c r="GV2" s="291" t="s">
        <v>456</v>
      </c>
      <c r="GW2" s="291" t="s">
        <v>29</v>
      </c>
      <c r="GX2" s="297" t="s">
        <v>232</v>
      </c>
      <c r="GY2" s="291" t="s">
        <v>30</v>
      </c>
      <c r="GZ2" s="291" t="s">
        <v>29</v>
      </c>
      <c r="HA2" s="297" t="s">
        <v>232</v>
      </c>
      <c r="HB2" s="291" t="s">
        <v>31</v>
      </c>
      <c r="HC2" s="291" t="s">
        <v>29</v>
      </c>
      <c r="HD2" s="160" t="s">
        <v>22</v>
      </c>
      <c r="HE2" s="161" t="s">
        <v>33</v>
      </c>
      <c r="HF2" s="162" t="s">
        <v>35</v>
      </c>
    </row>
    <row r="3" spans="1:214" ht="13.5" thickBot="1" x14ac:dyDescent="0.25">
      <c r="A3" s="421" t="s">
        <v>105</v>
      </c>
      <c r="B3" s="422">
        <v>0.74199999999999999</v>
      </c>
      <c r="C3" s="423"/>
      <c r="D3" s="101" t="s">
        <v>36</v>
      </c>
      <c r="E3" s="408">
        <f>1/((1/E20)+(1/E21))</f>
        <v>9.4994519370954453</v>
      </c>
      <c r="F3" s="168"/>
      <c r="G3" s="261"/>
      <c r="H3" s="408">
        <f>1/((1/H10)+(1/H11)+(1/H12)+(1/H13))</f>
        <v>2.5760346726538066E-2</v>
      </c>
      <c r="I3" s="167"/>
      <c r="J3" s="258"/>
      <c r="K3" s="408">
        <f>1/((1/K14)+(1/K15)+(1/K16+(1/K17)))</f>
        <v>1.1279585726969441E-2</v>
      </c>
      <c r="L3" s="110"/>
      <c r="M3" s="120" t="s">
        <v>475</v>
      </c>
      <c r="N3" s="123">
        <f>(N5*N6*N7)/((1-EXP(-N7*N6))*N10*N15*(N9/365)*N13*((N14*N12)+(N16*N11)))</f>
        <v>2.0974682803712184</v>
      </c>
      <c r="O3" s="131"/>
      <c r="P3" s="253" t="s">
        <v>475</v>
      </c>
      <c r="Q3" s="123">
        <f>(Q5*Q6*Q7)/((1-EXP(-Q7*Q6))*Q10*Q15*(Q9/365)*Q13*((Q14*Q12)+(Q16*Q11)))</f>
        <v>12.086167677130549</v>
      </c>
      <c r="R3" s="131"/>
      <c r="S3" s="253" t="s">
        <v>475</v>
      </c>
      <c r="T3" s="123">
        <f>(T5*T6*T7)/((1-EXP(-T7*T6))*T10*T15*(T9/365)*T13*((T14*T12)+(T16*T11)))</f>
        <v>2.3914931477277195</v>
      </c>
      <c r="U3" s="122"/>
      <c r="V3" s="91" t="s">
        <v>37</v>
      </c>
      <c r="W3" s="94">
        <f>1/((1/W18)+(1/W19))</f>
        <v>13.223457001445093</v>
      </c>
      <c r="X3" s="127"/>
      <c r="Y3" s="250" t="s">
        <v>37</v>
      </c>
      <c r="Z3" s="94">
        <f>1/((1/Z18)+(1/Z19))</f>
        <v>11.901111301300585</v>
      </c>
      <c r="AA3" s="95"/>
      <c r="AB3" s="150"/>
      <c r="AC3" s="245">
        <f>1/((1/AC37)+(1/AC38)+(1/AC39))</f>
        <v>1.0543859782279097</v>
      </c>
      <c r="AD3" s="132">
        <f>1/((1/AD37)+(1/AD38)+(1/AD39))</f>
        <v>1.6104338143556514</v>
      </c>
      <c r="AE3" s="245">
        <f>1/((1/AE37)+(1/AE38)+(1/AE39))</f>
        <v>1.1715399758087888</v>
      </c>
      <c r="AF3" s="245">
        <f>1/((1/AF37)+(1/AF38)+(1/AF39))</f>
        <v>0.21410184864996393</v>
      </c>
      <c r="AG3" s="132">
        <f>1/((1/AG37)+(1/AG39)+(1/AG40))</f>
        <v>0.21410219345326723</v>
      </c>
      <c r="AH3" s="165"/>
      <c r="AI3" s="136" t="s">
        <v>475</v>
      </c>
      <c r="AJ3" s="85">
        <f>(AJ5*AJ6*AJ7)/((1-EXP(-AJ7*AJ6))*AJ10*AJ15*(AJ9/365)*AJ13*((AJ14*AJ12)+(AJ16*AJ11)))</f>
        <v>6.0898100979840537</v>
      </c>
      <c r="AK3" s="151"/>
      <c r="AL3" s="234" t="s">
        <v>475</v>
      </c>
      <c r="AM3" s="85">
        <f>(AM5*AM6*AM7)/((1-EXP(-AM7*AM6))*AM10*AM15*(AM9/365)*AM13*((AM14*AM12)+(AM16*AM11)))</f>
        <v>34.70787633690248</v>
      </c>
      <c r="AN3" s="151"/>
      <c r="AO3" s="234" t="s">
        <v>475</v>
      </c>
      <c r="AP3" s="85">
        <f>(AP5*AP6*AP7)/((1-EXP(-AP7*AP6))*AP10*AP15*(AP9/365)*AP13*((AP14*AP12)+(AP16*AP11)))</f>
        <v>6.9204460678129776</v>
      </c>
      <c r="AQ3" s="137"/>
      <c r="AR3" s="144" t="s">
        <v>475</v>
      </c>
      <c r="AS3" s="87">
        <f>(AS5*AS6*AS7)/((1-EXP(-AS7*AS6))*AS10*AS15*(AS9/365)*AS13*((AS14*AS12)+(AS16*AS11)))</f>
        <v>31.804726977328915</v>
      </c>
      <c r="AT3" s="152"/>
      <c r="AU3" s="237" t="s">
        <v>475</v>
      </c>
      <c r="AV3" s="87">
        <f>(AV5*AV6*AV7)/((1-EXP(-AV7*AV6))*AV10*AV15*(AV9/365)*AV13*((AV14*AV12)+(AV16*AV11)))</f>
        <v>356.25225903928646</v>
      </c>
      <c r="AW3" s="152"/>
      <c r="AX3" s="237" t="s">
        <v>475</v>
      </c>
      <c r="AY3" s="87">
        <f>(AY5*AY6*AY7)/((1-EXP(-AY7*AY6))*AY10*AY15*(AY9/365)*AY13*((AY14*AY12)+(AY16*AY11)))</f>
        <v>42.482787402166835</v>
      </c>
      <c r="AZ3" s="145"/>
      <c r="BA3" s="144" t="s">
        <v>475</v>
      </c>
      <c r="BB3" s="87">
        <f>(BB5*BB6*BB7)/((1-EXP(-BB7*BB6))*BB10*BB15*(BB9/365)*BB13*((BB14*BB12)+(BB16*BB11)))</f>
        <v>28.624254279596023</v>
      </c>
      <c r="BC3" s="152"/>
      <c r="BD3" s="237" t="s">
        <v>475</v>
      </c>
      <c r="BE3" s="87">
        <f>(BE5*BE6*BE7)/((1-EXP(-BE7*BE6))*BE10*BE15*(BE9/365)*BE13*((BE14*BE12)+(BE16*BE11)))</f>
        <v>320.62703313535781</v>
      </c>
      <c r="BF3" s="152"/>
      <c r="BG3" s="237" t="s">
        <v>475</v>
      </c>
      <c r="BH3" s="87">
        <f>(BH5*BH6*BH7)/((1-EXP(-BH7*BH6))*BH10*BH15*(BH9/365)*BH13*((BH14*BH12)+(BH16*BH11)))</f>
        <v>38.234508661950152</v>
      </c>
      <c r="BI3" s="145"/>
      <c r="BJ3" s="144" t="s">
        <v>475</v>
      </c>
      <c r="BK3" s="87">
        <f>(BK5*BK6*BK7)/((1-EXP(-BK7*BK6))*BK12*BK16*(BK9/365)*BK14*BK15*BK13)</f>
        <v>21.996643051735834</v>
      </c>
      <c r="BL3" s="152"/>
      <c r="BM3" s="237" t="s">
        <v>475</v>
      </c>
      <c r="BN3" s="87">
        <f>(BN5*BN6*BN7)/((1-EXP(-BN7*BN6))*BN12*BN16*(BN9/365)*BN14*BN15*BN13)</f>
        <v>246.38959435330582</v>
      </c>
      <c r="BO3" s="152"/>
      <c r="BP3" s="237" t="s">
        <v>475</v>
      </c>
      <c r="BQ3" s="87">
        <f>(BQ5*BQ6*BQ7)/((1-EXP(-BQ7*BQ6))*BQ12*BQ16*(BQ9/365)*BQ14*BQ15*BQ13)</f>
        <v>29.38175545397262</v>
      </c>
      <c r="BR3" s="145"/>
      <c r="BS3" s="231" t="s">
        <v>36</v>
      </c>
      <c r="BT3" s="80">
        <f>1/((1/BT21)+(1/BT22))</f>
        <v>627.45097970659879</v>
      </c>
      <c r="BU3" s="155"/>
      <c r="BV3" s="231"/>
      <c r="BW3" s="80">
        <f>1/((1/BW10)+(1/BW12))</f>
        <v>0.14085379807565876</v>
      </c>
      <c r="BX3" s="155"/>
      <c r="BY3" s="231"/>
      <c r="BZ3" s="80">
        <f>1/((1/BZ13)+(1/BZ14)+(1/BZ15))</f>
        <v>1.227132886904132</v>
      </c>
      <c r="CA3" s="155"/>
      <c r="CB3" s="231" t="s">
        <v>475</v>
      </c>
      <c r="CC3" s="80">
        <f>(CC5*CC6*CC7)/((1-EXP(-CC7*CC6))*CC10*CC14*(CC9/365)*CC12*(CC13/24)*CC11)</f>
        <v>771.31075060286162</v>
      </c>
      <c r="CD3" s="155"/>
      <c r="CE3" s="231" t="s">
        <v>475</v>
      </c>
      <c r="CF3" s="80">
        <f>(CF5*CF6*CF7)/((1-EXP(-CF7*CF6))*CF10*CF14*(CF9/365)*CF12*(CF13/24)*CF11)</f>
        <v>8639.6338984273298</v>
      </c>
      <c r="CG3" s="155"/>
      <c r="CH3" s="231" t="s">
        <v>475</v>
      </c>
      <c r="CI3" s="80">
        <f>(CI5*CI6*CI7)/((1-EXP(-CI7*CI6))*CI10*CI14*(CI9/365)*CI12*(CI13/24)*CI11)</f>
        <v>1030.2692006199081</v>
      </c>
      <c r="CJ3" s="79"/>
      <c r="CK3" s="231" t="s">
        <v>456</v>
      </c>
      <c r="CL3" s="80">
        <f>CL5/(CL6*CL7*CL8*CL9)</f>
        <v>0.27720027720027718</v>
      </c>
      <c r="CM3" s="79"/>
      <c r="CN3" s="231" t="s">
        <v>456</v>
      </c>
      <c r="CO3" s="80">
        <f>CL3/(CO5*((CO10*CO12*CO13*(CO6+CO7))+(CO11*CO12)))</f>
        <v>0.92031964541924705</v>
      </c>
      <c r="CP3" s="79"/>
      <c r="CQ3" s="231" t="s">
        <v>456</v>
      </c>
      <c r="CR3" s="80">
        <f>CL3/(CR5*CR6*(1/CR7))</f>
        <v>1155.001155001155</v>
      </c>
      <c r="CS3" s="79"/>
      <c r="CT3" s="385"/>
      <c r="CU3" s="388">
        <f>1/((1/CU14)+(1/CU15)+(1/CU16+(1/CU17)))</f>
        <v>2.6916486011751522E-3</v>
      </c>
      <c r="CV3" s="389"/>
      <c r="CW3" s="266" t="s">
        <v>36</v>
      </c>
      <c r="CX3" s="176">
        <f>1/((1/CX20)+(1/CX21))</f>
        <v>9.0847149509716392</v>
      </c>
      <c r="CY3" s="263"/>
      <c r="CZ3" s="270"/>
      <c r="DA3" s="182">
        <f>1/((1/DA13)+(1/DA14)+(1/DA15)+(1/DA16))</f>
        <v>1.9173517089309425E-2</v>
      </c>
      <c r="DB3" s="183"/>
      <c r="DC3" s="308"/>
      <c r="DD3" s="313">
        <f>DD7</f>
        <v>7.8390048696878141E-4</v>
      </c>
      <c r="DE3" s="309" t="s">
        <v>384</v>
      </c>
      <c r="DF3" s="30"/>
      <c r="DG3" s="33">
        <f>DD7/((1/DG24)*(DG5+DG6+DG7))</f>
        <v>6.9656488584855625E-2</v>
      </c>
      <c r="DH3" s="186" t="s">
        <v>384</v>
      </c>
      <c r="DI3" s="227"/>
      <c r="DJ3" s="33">
        <f>DD7/(DJ5+DJ6)</f>
        <v>2.7031051274785563E-3</v>
      </c>
      <c r="DK3" s="186" t="s">
        <v>384</v>
      </c>
      <c r="DL3" s="227"/>
      <c r="DM3" s="33">
        <f>(DD7)/(DM5+DM6)</f>
        <v>2.7031051274785563E-3</v>
      </c>
      <c r="DN3" s="186"/>
      <c r="DO3" s="227"/>
      <c r="DP3" s="33">
        <f>-(DP5+DP6+DP7)/(DP23+DP24)</f>
        <v>-48.306480833505248</v>
      </c>
      <c r="DQ3" s="34"/>
      <c r="DR3" s="24"/>
      <c r="DS3" s="25">
        <f>DS7</f>
        <v>1.0585415557348196E-4</v>
      </c>
      <c r="DT3" s="170" t="s">
        <v>384</v>
      </c>
      <c r="DU3" s="319"/>
      <c r="DV3" s="322">
        <f>DS7/(DV5*DV6)</f>
        <v>1.4382358094223093E-4</v>
      </c>
      <c r="DW3" s="323"/>
      <c r="DX3" s="314"/>
      <c r="DY3" s="322">
        <f>DS7/(DY9*((DY10*DY12*DY13*(DY5+DY6))+(DY11*DY12)))</f>
        <v>7.6204506272843869E-5</v>
      </c>
      <c r="DZ3" s="323" t="s">
        <v>384</v>
      </c>
      <c r="EA3" s="314"/>
      <c r="EB3" s="322">
        <f>DS7/(EB9*((EB10*EB12*EB13*(EB5+EB6))+(EB11*EB12)))</f>
        <v>7.6204506272843869E-5</v>
      </c>
      <c r="EC3" s="323"/>
      <c r="ED3" s="314"/>
      <c r="EE3" s="322">
        <f>-EE15/((EE10*EE12*EE13*(EE5+EE6))+(EE11*EE12))</f>
        <v>-0.52984709303999777</v>
      </c>
      <c r="EF3" s="324"/>
      <c r="EG3" s="19"/>
      <c r="EH3" s="20">
        <f>EH7</f>
        <v>4.9985064394286293E-4</v>
      </c>
      <c r="EI3" s="189" t="s">
        <v>384</v>
      </c>
      <c r="EJ3" s="336"/>
      <c r="EK3" s="339">
        <f>EH7/(EK5*EK6)</f>
        <v>3.1437147417790124E-4</v>
      </c>
      <c r="EL3" s="340"/>
      <c r="EM3" s="331"/>
      <c r="EN3" s="339">
        <f>EH7/(EN9*((EN10*EN12*EN13*(EN5+EN6))+(EN11*EN12)))</f>
        <v>1.376629263332474E-4</v>
      </c>
      <c r="EO3" s="340" t="s">
        <v>384</v>
      </c>
      <c r="EP3" s="331"/>
      <c r="EQ3" s="339">
        <f>EH7/(EQ9*((EQ10*EQ12*EQ13*(EQ5+EQ6))+(EQ11*EQ12)))</f>
        <v>1.376629263332474E-4</v>
      </c>
      <c r="ER3" s="340"/>
      <c r="ES3" s="331"/>
      <c r="ET3" s="339">
        <f>-ET15/((ET10*ET12*ET13*(ET5+ET6))+(ET11*ET12))</f>
        <v>-0.43789891144940407</v>
      </c>
      <c r="EU3" s="341"/>
      <c r="EV3" s="191"/>
      <c r="EW3" s="39">
        <f>EW7</f>
        <v>1.6664889839371009E-3</v>
      </c>
      <c r="EX3" s="191" t="s">
        <v>384</v>
      </c>
      <c r="EY3" s="198"/>
      <c r="EZ3" s="199">
        <f>EW7/(EZ5*EZ6*(1/EZ7))</f>
        <v>10.415556149606878</v>
      </c>
      <c r="FA3" s="199"/>
      <c r="FB3" s="223"/>
      <c r="FC3" s="199">
        <f>EW7/(FC9*((FC10*FC12*FC13*(FC5+FC6))+(FC11*FC12)))</f>
        <v>5.7071540545791118E-2</v>
      </c>
      <c r="FD3" s="220" t="s">
        <v>384</v>
      </c>
      <c r="FE3" s="225"/>
      <c r="FF3" s="199">
        <f>EW7/(FF9*(FF10*FF12*FF13*(FF5*FF6))+(FF11*FF12))</f>
        <v>7.5406741354619958E-2</v>
      </c>
      <c r="FG3" s="199"/>
      <c r="FH3" s="223"/>
      <c r="FI3" s="199">
        <f>FI15/((FI10*FI12*FI13*(FI5+FI6))+(FI11*FI12))</f>
        <v>5.4794520547945202</v>
      </c>
      <c r="FJ3" s="203"/>
      <c r="FK3" s="47"/>
      <c r="FL3" s="48">
        <f>FL7</f>
        <v>5.4352022263779603E-4</v>
      </c>
      <c r="FM3" s="49"/>
      <c r="FN3" s="210"/>
      <c r="FO3" s="211">
        <f>FL7/(FR5*(1/FO7))</f>
        <v>2.7176011131889802E-4</v>
      </c>
      <c r="FP3" s="211"/>
      <c r="FQ3" s="218"/>
      <c r="FR3" s="211">
        <f>(FL7*FR6)/FR5</f>
        <v>2.2284329128149635E-6</v>
      </c>
      <c r="FS3" s="211"/>
      <c r="FT3" s="218"/>
      <c r="FU3" s="211">
        <f>(FL7*FU15)/FU14</f>
        <v>2.2284329128149635E-6</v>
      </c>
      <c r="FV3" s="211"/>
      <c r="FW3" s="218"/>
      <c r="FX3" s="211">
        <f>-FX29/FX30</f>
        <v>-8.199999999999999E-3</v>
      </c>
      <c r="FY3" s="212"/>
      <c r="FZ3" s="59"/>
      <c r="GA3" s="60">
        <f>GA7</f>
        <v>6.9535027841634647E-4</v>
      </c>
      <c r="GB3" s="61" t="s">
        <v>384</v>
      </c>
      <c r="GC3" s="278"/>
      <c r="GD3" s="279">
        <f>FL7/(GD5*GD6*(1/GD7))</f>
        <v>0.13588005565944899</v>
      </c>
      <c r="GE3" s="279"/>
      <c r="GF3" s="286"/>
      <c r="GG3" s="279">
        <f>GA7/((GG9)*((GG10*GG12*GG13*(GG5+GG6))+(GG11*GG12)))</f>
        <v>9.5253462796759773E-4</v>
      </c>
      <c r="GH3" s="279" t="s">
        <v>384</v>
      </c>
      <c r="GI3" s="286"/>
      <c r="GJ3" s="279">
        <f>FL7/(GJ9*(GJ10*GJ12*GJ13*(GJ5*GJ6))+(GJ11*GJ12))</f>
        <v>2.2184498883175349E-2</v>
      </c>
      <c r="GK3" s="279"/>
      <c r="GL3" s="286"/>
      <c r="GM3" s="279">
        <f>GM15/((GM10*GM12*GM13*(GM5+GM6))+(GM11*GM12))</f>
        <v>5.4794520547945202</v>
      </c>
      <c r="GN3" s="280"/>
      <c r="GO3" s="70"/>
      <c r="GP3" s="71">
        <f>GP7</f>
        <v>8.9517017675564336E-4</v>
      </c>
      <c r="GQ3" s="72" t="s">
        <v>384</v>
      </c>
      <c r="GR3" s="292"/>
      <c r="GS3" s="293">
        <f>GP7/(GS5*GS6*(1/GS7))</f>
        <v>0.32718208214753053</v>
      </c>
      <c r="GT3" s="293"/>
      <c r="GU3" s="298"/>
      <c r="GV3" s="293">
        <f>GP7/((GV9)*((GV10*GV12*GV13*(GV5+GV6))+(GV11*GV12)))</f>
        <v>2.3779889936129082E-3</v>
      </c>
      <c r="GW3" s="293" t="s">
        <v>384</v>
      </c>
      <c r="GX3" s="298"/>
      <c r="GY3" s="293">
        <f>GP7/((GY9*((GY10*GY12*GY13*(GY5+GY6))+(GY11*GY12))))</f>
        <v>2.3779889936129082E-3</v>
      </c>
      <c r="GZ3" s="293"/>
      <c r="HA3" s="298"/>
      <c r="HB3" s="293">
        <f>GP7/((HB10*HB12*HB13*(HB5+HB6))+(HB11*HB12))</f>
        <v>5.7071735846709801E-4</v>
      </c>
      <c r="HC3" s="300"/>
      <c r="HD3" s="302">
        <f>HE5*HE13*10^-3*(HE14+(HE9/HE10))*((HE11*HE7)/(1-EXP(-HE7*HE11)))</f>
        <v>1.6760278674542313</v>
      </c>
      <c r="HE3" s="303"/>
      <c r="HF3" s="162" t="s">
        <v>38</v>
      </c>
    </row>
    <row r="4" spans="1:214" ht="14.25" thickTop="1" thickBot="1" x14ac:dyDescent="0.25">
      <c r="A4" s="439" t="s">
        <v>425</v>
      </c>
      <c r="B4" s="440"/>
      <c r="C4" s="441"/>
      <c r="D4" s="425" t="s">
        <v>37</v>
      </c>
      <c r="E4" s="409">
        <f>1/((1/E22)+(1/E23))</f>
        <v>9.4997511729755182</v>
      </c>
      <c r="F4" s="256"/>
      <c r="G4" s="262"/>
      <c r="H4" s="116"/>
      <c r="I4" s="255"/>
      <c r="J4" s="259" t="s">
        <v>0</v>
      </c>
      <c r="K4" s="112" t="s">
        <v>33</v>
      </c>
      <c r="L4" s="113"/>
      <c r="M4" s="124"/>
      <c r="N4" s="125"/>
      <c r="O4" s="169"/>
      <c r="P4" s="254"/>
      <c r="Q4" s="125"/>
      <c r="R4" s="169"/>
      <c r="S4" s="254"/>
      <c r="T4" s="125"/>
      <c r="U4" s="126"/>
      <c r="V4" s="130" t="s">
        <v>36</v>
      </c>
      <c r="W4" s="96">
        <f>1/((1/W16)+(1/W17))</f>
        <v>13.071895340920861</v>
      </c>
      <c r="X4" s="128"/>
      <c r="Y4" s="251" t="s">
        <v>36</v>
      </c>
      <c r="Z4" s="96">
        <f>1/((1/Z16)+(1/Z17))</f>
        <v>11.764705806828777</v>
      </c>
      <c r="AA4" s="97"/>
      <c r="AB4" s="239" t="s">
        <v>0</v>
      </c>
      <c r="AC4" s="246" t="s">
        <v>39</v>
      </c>
      <c r="AD4" s="241" t="s">
        <v>40</v>
      </c>
      <c r="AE4" s="246" t="s">
        <v>41</v>
      </c>
      <c r="AF4" s="247" t="s">
        <v>42</v>
      </c>
      <c r="AG4" s="242" t="s">
        <v>42</v>
      </c>
      <c r="AH4" s="166"/>
      <c r="AI4" s="138" t="s">
        <v>32</v>
      </c>
      <c r="AJ4" s="139"/>
      <c r="AK4" s="153"/>
      <c r="AL4" s="235" t="s">
        <v>32</v>
      </c>
      <c r="AM4" s="139"/>
      <c r="AN4" s="153"/>
      <c r="AO4" s="235" t="s">
        <v>32</v>
      </c>
      <c r="AP4" s="139"/>
      <c r="AQ4" s="140"/>
      <c r="AR4" s="146" t="s">
        <v>32</v>
      </c>
      <c r="AS4" s="147"/>
      <c r="AT4" s="154"/>
      <c r="AU4" s="238" t="s">
        <v>32</v>
      </c>
      <c r="AV4" s="147"/>
      <c r="AW4" s="154"/>
      <c r="AX4" s="238" t="s">
        <v>32</v>
      </c>
      <c r="AY4" s="147"/>
      <c r="AZ4" s="148"/>
      <c r="BA4" s="146" t="s">
        <v>32</v>
      </c>
      <c r="BB4" s="147"/>
      <c r="BC4" s="154"/>
      <c r="BD4" s="238" t="s">
        <v>32</v>
      </c>
      <c r="BE4" s="147"/>
      <c r="BF4" s="154"/>
      <c r="BG4" s="238" t="s">
        <v>32</v>
      </c>
      <c r="BH4" s="147"/>
      <c r="BI4" s="148"/>
      <c r="BJ4" s="146" t="s">
        <v>32</v>
      </c>
      <c r="BK4" s="147"/>
      <c r="BL4" s="154"/>
      <c r="BM4" s="238" t="s">
        <v>32</v>
      </c>
      <c r="BN4" s="147"/>
      <c r="BO4" s="154"/>
      <c r="BP4" s="238" t="s">
        <v>32</v>
      </c>
      <c r="BQ4" s="147"/>
      <c r="BR4" s="148"/>
      <c r="BS4" s="232" t="s">
        <v>37</v>
      </c>
      <c r="BT4" s="81">
        <f>1/((1/BT23)+(1/BT24))</f>
        <v>16502.873974934049</v>
      </c>
      <c r="BU4" s="156"/>
      <c r="BV4" s="232"/>
      <c r="BW4" s="81"/>
      <c r="BX4" s="156"/>
      <c r="BY4" s="232" t="s">
        <v>0</v>
      </c>
      <c r="BZ4" s="81" t="s">
        <v>33</v>
      </c>
      <c r="CA4" s="156"/>
      <c r="CB4" s="232"/>
      <c r="CC4" s="81"/>
      <c r="CD4" s="156"/>
      <c r="CE4" s="232"/>
      <c r="CF4" s="81"/>
      <c r="CG4" s="156"/>
      <c r="CH4" s="232"/>
      <c r="CI4" s="81"/>
      <c r="CJ4" s="82"/>
      <c r="CK4" s="232"/>
      <c r="CL4" s="81"/>
      <c r="CM4" s="82"/>
      <c r="CN4" s="232"/>
      <c r="CO4" s="81"/>
      <c r="CP4" s="82"/>
      <c r="CQ4" s="232"/>
      <c r="CR4" s="81"/>
      <c r="CS4" s="82"/>
      <c r="CT4" s="390" t="s">
        <v>0</v>
      </c>
      <c r="CU4" s="391" t="s">
        <v>9</v>
      </c>
      <c r="CV4" s="392"/>
      <c r="CW4" s="267" t="s">
        <v>37</v>
      </c>
      <c r="CX4" s="177">
        <f>1/((1/CX22)+(1/CX23))</f>
        <v>9.1900473796247528</v>
      </c>
      <c r="CY4" s="264"/>
      <c r="CZ4" s="271"/>
      <c r="DA4" s="184"/>
      <c r="DB4" s="185"/>
      <c r="DC4" s="310"/>
      <c r="DD4" s="311"/>
      <c r="DE4" s="312"/>
      <c r="DF4" s="35"/>
      <c r="DG4" s="36"/>
      <c r="DH4" s="173"/>
      <c r="DI4" s="229"/>
      <c r="DJ4" s="36"/>
      <c r="DK4" s="187"/>
      <c r="DL4" s="229"/>
      <c r="DM4" s="36"/>
      <c r="DN4" s="173"/>
      <c r="DO4" s="229"/>
      <c r="DP4" s="36"/>
      <c r="DQ4" s="228"/>
      <c r="DR4" s="188"/>
      <c r="DS4" s="26"/>
      <c r="DT4" s="171"/>
      <c r="DU4" s="325"/>
      <c r="DV4" s="326"/>
      <c r="DW4" s="327"/>
      <c r="DX4" s="328"/>
      <c r="DY4" s="326"/>
      <c r="DZ4" s="329"/>
      <c r="EA4" s="328"/>
      <c r="EB4" s="326"/>
      <c r="EC4" s="327"/>
      <c r="ED4" s="328"/>
      <c r="EE4" s="326"/>
      <c r="EF4" s="330"/>
      <c r="EG4" s="172"/>
      <c r="EH4" s="21"/>
      <c r="EI4" s="190"/>
      <c r="EJ4" s="342"/>
      <c r="EK4" s="343"/>
      <c r="EL4" s="344"/>
      <c r="EM4" s="345"/>
      <c r="EN4" s="343"/>
      <c r="EO4" s="346"/>
      <c r="EP4" s="345"/>
      <c r="EQ4" s="343"/>
      <c r="ER4" s="344"/>
      <c r="ES4" s="345"/>
      <c r="ET4" s="343"/>
      <c r="EU4" s="347"/>
      <c r="EV4" s="40"/>
      <c r="EW4" s="40"/>
      <c r="EX4" s="40"/>
      <c r="EY4" s="200"/>
      <c r="EZ4" s="201"/>
      <c r="FA4" s="201"/>
      <c r="FB4" s="224"/>
      <c r="FC4" s="201"/>
      <c r="FD4" s="201"/>
      <c r="FE4" s="224"/>
      <c r="FF4" s="201"/>
      <c r="FG4" s="201"/>
      <c r="FH4" s="224"/>
      <c r="FI4" s="201"/>
      <c r="FJ4" s="202"/>
      <c r="FK4" s="50"/>
      <c r="FL4" s="51" t="s">
        <v>384</v>
      </c>
      <c r="FM4" s="52"/>
      <c r="FN4" s="213"/>
      <c r="FO4" s="214"/>
      <c r="FP4" s="214"/>
      <c r="FQ4" s="219"/>
      <c r="FR4" s="214" t="s">
        <v>384</v>
      </c>
      <c r="FS4" s="214"/>
      <c r="FT4" s="219"/>
      <c r="FU4" s="214"/>
      <c r="FV4" s="214"/>
      <c r="FW4" s="219"/>
      <c r="FX4" s="214"/>
      <c r="FY4" s="215"/>
      <c r="FZ4" s="62"/>
      <c r="GA4" s="63"/>
      <c r="GB4" s="64"/>
      <c r="GC4" s="281"/>
      <c r="GD4" s="282"/>
      <c r="GE4" s="282"/>
      <c r="GF4" s="287"/>
      <c r="GG4" s="282"/>
      <c r="GH4" s="282"/>
      <c r="GI4" s="287"/>
      <c r="GJ4" s="282"/>
      <c r="GK4" s="282"/>
      <c r="GL4" s="287"/>
      <c r="GM4" s="282"/>
      <c r="GN4" s="283"/>
      <c r="GO4" s="73"/>
      <c r="GP4" s="74"/>
      <c r="GQ4" s="75"/>
      <c r="GR4" s="294"/>
      <c r="GS4" s="295"/>
      <c r="GT4" s="295"/>
      <c r="GU4" s="299"/>
      <c r="GV4" s="295"/>
      <c r="GW4" s="295"/>
      <c r="GX4" s="299"/>
      <c r="GY4" s="295"/>
      <c r="GZ4" s="295"/>
      <c r="HA4" s="299"/>
      <c r="HB4" s="295"/>
      <c r="HC4" s="301"/>
      <c r="HD4" s="304">
        <f>HE6*HE13*10^-3*(HE14+(HE9/HE10))*((HE11*HE7)/(1-EXP(-HE7*HE11)))</f>
        <v>2.8783372659307452E-3</v>
      </c>
      <c r="HE4" s="305"/>
      <c r="HF4" s="306" t="s">
        <v>43</v>
      </c>
    </row>
    <row r="5" spans="1:214" ht="13.5" thickTop="1" x14ac:dyDescent="0.2">
      <c r="A5" s="420" t="s">
        <v>486</v>
      </c>
      <c r="B5" s="415">
        <v>4.3299999999999998E-2</v>
      </c>
      <c r="C5" s="416"/>
      <c r="D5" t="s">
        <v>485</v>
      </c>
      <c r="E5" s="1">
        <v>1</v>
      </c>
      <c r="G5" t="s">
        <v>485</v>
      </c>
      <c r="H5" s="1">
        <v>1</v>
      </c>
      <c r="J5" t="s">
        <v>485</v>
      </c>
      <c r="K5" s="1">
        <v>1</v>
      </c>
      <c r="M5" t="s">
        <v>485</v>
      </c>
      <c r="N5" s="1">
        <v>1</v>
      </c>
      <c r="P5" t="s">
        <v>485</v>
      </c>
      <c r="Q5" s="1">
        <v>1</v>
      </c>
      <c r="S5" t="s">
        <v>485</v>
      </c>
      <c r="T5" s="1">
        <v>1</v>
      </c>
      <c r="V5" t="s">
        <v>458</v>
      </c>
      <c r="W5" s="1">
        <v>1</v>
      </c>
      <c r="X5" t="s">
        <v>459</v>
      </c>
      <c r="Y5" t="s">
        <v>458</v>
      </c>
      <c r="Z5" s="1">
        <v>1</v>
      </c>
      <c r="AA5" t="s">
        <v>459</v>
      </c>
      <c r="AB5" t="s">
        <v>458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t="s">
        <v>459</v>
      </c>
      <c r="AI5" t="s">
        <v>458</v>
      </c>
      <c r="AJ5" s="1">
        <v>1</v>
      </c>
      <c r="AK5" t="s">
        <v>459</v>
      </c>
      <c r="AL5" t="s">
        <v>458</v>
      </c>
      <c r="AM5" s="1">
        <v>1</v>
      </c>
      <c r="AN5" t="s">
        <v>459</v>
      </c>
      <c r="AO5" t="s">
        <v>458</v>
      </c>
      <c r="AP5" s="1">
        <v>1</v>
      </c>
      <c r="AQ5" t="s">
        <v>459</v>
      </c>
      <c r="AR5" t="s">
        <v>458</v>
      </c>
      <c r="AS5" s="1">
        <v>1</v>
      </c>
      <c r="AT5" t="s">
        <v>459</v>
      </c>
      <c r="AU5" t="s">
        <v>458</v>
      </c>
      <c r="AV5" s="1">
        <v>1</v>
      </c>
      <c r="AW5" t="s">
        <v>459</v>
      </c>
      <c r="AX5" t="s">
        <v>458</v>
      </c>
      <c r="AY5" s="1">
        <v>1</v>
      </c>
      <c r="AZ5" t="s">
        <v>459</v>
      </c>
      <c r="BA5" t="s">
        <v>458</v>
      </c>
      <c r="BB5" s="1">
        <v>1</v>
      </c>
      <c r="BC5" t="s">
        <v>459</v>
      </c>
      <c r="BD5" t="s">
        <v>458</v>
      </c>
      <c r="BE5" s="1">
        <v>1</v>
      </c>
      <c r="BF5" t="s">
        <v>459</v>
      </c>
      <c r="BG5" t="s">
        <v>458</v>
      </c>
      <c r="BH5" s="1">
        <v>1</v>
      </c>
      <c r="BI5" t="s">
        <v>459</v>
      </c>
      <c r="BJ5" t="s">
        <v>458</v>
      </c>
      <c r="BK5" s="1">
        <v>1</v>
      </c>
      <c r="BL5" t="s">
        <v>459</v>
      </c>
      <c r="BM5" t="s">
        <v>458</v>
      </c>
      <c r="BN5" s="1">
        <v>1</v>
      </c>
      <c r="BO5" t="s">
        <v>459</v>
      </c>
      <c r="BP5" t="s">
        <v>458</v>
      </c>
      <c r="BQ5" s="1">
        <v>1</v>
      </c>
      <c r="BR5" t="s">
        <v>459</v>
      </c>
      <c r="BS5" t="s">
        <v>458</v>
      </c>
      <c r="BT5" s="1">
        <v>1</v>
      </c>
      <c r="BU5" t="s">
        <v>459</v>
      </c>
      <c r="BV5" t="s">
        <v>458</v>
      </c>
      <c r="BW5" s="1">
        <v>1</v>
      </c>
      <c r="BX5" t="s">
        <v>459</v>
      </c>
      <c r="BY5" t="s">
        <v>458</v>
      </c>
      <c r="BZ5" s="1">
        <v>1</v>
      </c>
      <c r="CA5" t="s">
        <v>459</v>
      </c>
      <c r="CB5" t="s">
        <v>458</v>
      </c>
      <c r="CC5" s="1">
        <v>1</v>
      </c>
      <c r="CD5" t="s">
        <v>459</v>
      </c>
      <c r="CE5" t="s">
        <v>458</v>
      </c>
      <c r="CF5" s="1">
        <v>1</v>
      </c>
      <c r="CG5" t="s">
        <v>459</v>
      </c>
      <c r="CH5" t="s">
        <v>458</v>
      </c>
      <c r="CI5" s="1">
        <v>1</v>
      </c>
      <c r="CJ5" t="s">
        <v>459</v>
      </c>
      <c r="CK5" t="s">
        <v>485</v>
      </c>
      <c r="CL5" s="1">
        <v>1</v>
      </c>
      <c r="CM5" s="2"/>
      <c r="CN5" t="s">
        <v>395</v>
      </c>
      <c r="CO5" s="1">
        <f>B39</f>
        <v>0.24</v>
      </c>
      <c r="CQ5" t="s">
        <v>395</v>
      </c>
      <c r="CR5">
        <f>CO5</f>
        <v>0.24</v>
      </c>
      <c r="CT5" t="s">
        <v>458</v>
      </c>
      <c r="CU5" s="1">
        <v>1</v>
      </c>
      <c r="CV5" t="s">
        <v>459</v>
      </c>
      <c r="CW5" t="s">
        <v>458</v>
      </c>
      <c r="CX5" s="1">
        <v>1</v>
      </c>
      <c r="CY5" t="s">
        <v>459</v>
      </c>
      <c r="CZ5" t="s">
        <v>458</v>
      </c>
      <c r="DA5" s="1">
        <v>1</v>
      </c>
      <c r="DB5" t="s">
        <v>459</v>
      </c>
      <c r="DC5" t="s">
        <v>458</v>
      </c>
      <c r="DD5" s="1">
        <v>1</v>
      </c>
      <c r="DE5" t="s">
        <v>459</v>
      </c>
      <c r="DF5" t="s">
        <v>44</v>
      </c>
      <c r="DG5">
        <f>(DG8*DG9*DG10*((1-EXP(-DG11*DG12))))/(DG13*DG11)</f>
        <v>0.78778672032533081</v>
      </c>
      <c r="DH5" t="s">
        <v>45</v>
      </c>
      <c r="DI5" t="s">
        <v>46</v>
      </c>
      <c r="DJ5">
        <f>DJ7</f>
        <v>0.03</v>
      </c>
      <c r="DL5" t="s">
        <v>46</v>
      </c>
      <c r="DM5">
        <f>DM7</f>
        <v>0.03</v>
      </c>
      <c r="DO5" t="s">
        <v>44</v>
      </c>
      <c r="DP5">
        <f>(DP8*DP9*DP10*((1-EXP(-DP11*DP12))))/(DP13*DP11)</f>
        <v>1.072392322870531</v>
      </c>
      <c r="DQ5" t="s">
        <v>45</v>
      </c>
      <c r="DR5" t="s">
        <v>458</v>
      </c>
      <c r="DS5" s="1">
        <v>1</v>
      </c>
      <c r="DT5" t="s">
        <v>459</v>
      </c>
      <c r="DU5" t="s">
        <v>317</v>
      </c>
      <c r="DV5" s="1">
        <f>B35</f>
        <v>8.0000000000000002E-3</v>
      </c>
      <c r="DX5" t="s">
        <v>47</v>
      </c>
      <c r="DY5">
        <f>DY7</f>
        <v>10</v>
      </c>
      <c r="EA5" t="s">
        <v>47</v>
      </c>
      <c r="EB5">
        <f>EB7</f>
        <v>10</v>
      </c>
      <c r="ED5" t="s">
        <v>47</v>
      </c>
      <c r="EE5">
        <f>EE7</f>
        <v>10</v>
      </c>
      <c r="EG5" t="s">
        <v>458</v>
      </c>
      <c r="EH5" s="1">
        <v>1</v>
      </c>
      <c r="EI5" t="s">
        <v>459</v>
      </c>
      <c r="EJ5" t="s">
        <v>318</v>
      </c>
      <c r="EK5" s="1">
        <f>B36</f>
        <v>0.03</v>
      </c>
      <c r="EM5" t="s">
        <v>47</v>
      </c>
      <c r="EN5">
        <f>EN7</f>
        <v>10</v>
      </c>
      <c r="EP5" t="s">
        <v>47</v>
      </c>
      <c r="EQ5">
        <f>EQ7</f>
        <v>10</v>
      </c>
      <c r="ES5" t="s">
        <v>47</v>
      </c>
      <c r="ET5">
        <f>ET7</f>
        <v>10</v>
      </c>
      <c r="EV5" t="s">
        <v>458</v>
      </c>
      <c r="EW5" s="1">
        <v>1</v>
      </c>
      <c r="EX5" t="s">
        <v>459</v>
      </c>
      <c r="EY5" t="s">
        <v>319</v>
      </c>
      <c r="EZ5" s="406">
        <f>B38</f>
        <v>0.4</v>
      </c>
      <c r="FB5" t="s">
        <v>47</v>
      </c>
      <c r="FC5">
        <f>FC7</f>
        <v>5.0000000000000001E-3</v>
      </c>
      <c r="FE5" t="s">
        <v>47</v>
      </c>
      <c r="FF5">
        <f>FF7</f>
        <v>5.0000000000000001E-3</v>
      </c>
      <c r="FH5" t="s">
        <v>47</v>
      </c>
      <c r="FI5">
        <f>FI7</f>
        <v>5.0000000000000001E-3</v>
      </c>
      <c r="FK5" t="s">
        <v>458</v>
      </c>
      <c r="FL5" s="1">
        <v>1</v>
      </c>
      <c r="FM5" t="s">
        <v>459</v>
      </c>
      <c r="FN5" t="s">
        <v>320</v>
      </c>
      <c r="FO5" s="17">
        <v>1</v>
      </c>
      <c r="FQ5" t="s">
        <v>186</v>
      </c>
      <c r="FR5" s="1">
        <f>B34</f>
        <v>2000</v>
      </c>
      <c r="FT5" t="s">
        <v>47</v>
      </c>
      <c r="FU5">
        <f>FU7</f>
        <v>0.2</v>
      </c>
      <c r="FW5" t="s">
        <v>47</v>
      </c>
      <c r="FX5">
        <f>FX7</f>
        <v>0.2</v>
      </c>
      <c r="FZ5" t="s">
        <v>458</v>
      </c>
      <c r="GA5" s="1">
        <v>1</v>
      </c>
      <c r="GB5" t="s">
        <v>459</v>
      </c>
      <c r="GC5" t="s">
        <v>321</v>
      </c>
      <c r="GD5" s="406">
        <f>B37</f>
        <v>10</v>
      </c>
      <c r="GF5" t="s">
        <v>47</v>
      </c>
      <c r="GG5">
        <f>GG7</f>
        <v>5.0000000000000001E-3</v>
      </c>
      <c r="GI5" t="s">
        <v>47</v>
      </c>
      <c r="GJ5">
        <f>GJ7</f>
        <v>5.0000000000000001E-3</v>
      </c>
      <c r="GL5" t="s">
        <v>47</v>
      </c>
      <c r="GM5">
        <f>GM7</f>
        <v>5.0000000000000001E-3</v>
      </c>
      <c r="GO5" t="s">
        <v>458</v>
      </c>
      <c r="GP5" s="1">
        <v>1</v>
      </c>
      <c r="GQ5" t="s">
        <v>459</v>
      </c>
      <c r="GR5" t="s">
        <v>322</v>
      </c>
      <c r="GS5" s="406">
        <f>B39</f>
        <v>0.24</v>
      </c>
      <c r="GU5" t="s">
        <v>47</v>
      </c>
      <c r="GV5">
        <f>GV7</f>
        <v>5.0000000000000001E-3</v>
      </c>
      <c r="GX5" t="s">
        <v>47</v>
      </c>
      <c r="GY5">
        <f>GY7</f>
        <v>5.0000000000000001E-3</v>
      </c>
      <c r="HA5" t="s">
        <v>47</v>
      </c>
      <c r="HB5">
        <f>HB7</f>
        <v>5.0000000000000001E-3</v>
      </c>
      <c r="HD5" s="2" t="s">
        <v>48</v>
      </c>
      <c r="HE5">
        <v>15</v>
      </c>
      <c r="HF5" t="s">
        <v>24</v>
      </c>
    </row>
    <row r="6" spans="1:214" x14ac:dyDescent="0.2">
      <c r="A6" s="424" t="s">
        <v>426</v>
      </c>
      <c r="B6" s="417">
        <v>0.65300000000000002</v>
      </c>
      <c r="C6" s="418"/>
      <c r="D6" t="s">
        <v>49</v>
      </c>
      <c r="E6" s="1">
        <f>0.693/E7</f>
        <v>6.3E-5</v>
      </c>
      <c r="G6" t="s">
        <v>437</v>
      </c>
      <c r="H6" s="1">
        <f>B18</f>
        <v>4.8099999999999997E-2</v>
      </c>
      <c r="I6" t="s">
        <v>61</v>
      </c>
      <c r="J6" t="s">
        <v>438</v>
      </c>
      <c r="K6" s="1">
        <f>B19</f>
        <v>4.8099999999999997E-2</v>
      </c>
      <c r="L6" t="s">
        <v>61</v>
      </c>
      <c r="M6" t="s">
        <v>58</v>
      </c>
      <c r="N6">
        <v>26</v>
      </c>
      <c r="O6" t="s">
        <v>59</v>
      </c>
      <c r="P6" t="s">
        <v>58</v>
      </c>
      <c r="Q6">
        <v>26</v>
      </c>
      <c r="R6" t="s">
        <v>59</v>
      </c>
      <c r="S6" t="s">
        <v>58</v>
      </c>
      <c r="T6">
        <v>26</v>
      </c>
      <c r="U6" t="s">
        <v>59</v>
      </c>
      <c r="V6" t="s">
        <v>49</v>
      </c>
      <c r="W6" s="1">
        <f>0.693/W7</f>
        <v>2.3099999999999999E-2</v>
      </c>
      <c r="Y6" t="s">
        <v>49</v>
      </c>
      <c r="Z6" s="1">
        <f>0.693/Z7</f>
        <v>2.3099999999999999E-2</v>
      </c>
      <c r="AC6">
        <v>1000</v>
      </c>
      <c r="AD6">
        <v>1000</v>
      </c>
      <c r="AE6">
        <v>1000</v>
      </c>
      <c r="AF6">
        <v>1000</v>
      </c>
      <c r="AG6">
        <v>1000</v>
      </c>
      <c r="AH6" t="s">
        <v>50</v>
      </c>
      <c r="AI6" t="s">
        <v>58</v>
      </c>
      <c r="AJ6">
        <v>25</v>
      </c>
      <c r="AK6" t="s">
        <v>59</v>
      </c>
      <c r="AL6" t="s">
        <v>58</v>
      </c>
      <c r="AM6">
        <v>25</v>
      </c>
      <c r="AN6" t="s">
        <v>59</v>
      </c>
      <c r="AO6" t="s">
        <v>58</v>
      </c>
      <c r="AP6">
        <v>25</v>
      </c>
      <c r="AQ6" t="s">
        <v>59</v>
      </c>
      <c r="AR6" t="s">
        <v>58</v>
      </c>
      <c r="AS6">
        <v>25</v>
      </c>
      <c r="AT6" t="s">
        <v>59</v>
      </c>
      <c r="AU6" t="s">
        <v>58</v>
      </c>
      <c r="AV6">
        <v>25</v>
      </c>
      <c r="AW6" t="s">
        <v>59</v>
      </c>
      <c r="AX6" t="s">
        <v>58</v>
      </c>
      <c r="AY6">
        <v>25</v>
      </c>
      <c r="AZ6" t="s">
        <v>59</v>
      </c>
      <c r="BA6" t="s">
        <v>58</v>
      </c>
      <c r="BB6">
        <v>25</v>
      </c>
      <c r="BC6" t="s">
        <v>59</v>
      </c>
      <c r="BD6" t="s">
        <v>58</v>
      </c>
      <c r="BE6">
        <v>25</v>
      </c>
      <c r="BF6" t="s">
        <v>59</v>
      </c>
      <c r="BG6" t="s">
        <v>58</v>
      </c>
      <c r="BH6">
        <v>25</v>
      </c>
      <c r="BI6" t="s">
        <v>59</v>
      </c>
      <c r="BJ6" t="s">
        <v>58</v>
      </c>
      <c r="BK6">
        <v>1</v>
      </c>
      <c r="BL6" t="s">
        <v>59</v>
      </c>
      <c r="BM6" t="s">
        <v>58</v>
      </c>
      <c r="BN6">
        <v>1</v>
      </c>
      <c r="BO6" t="s">
        <v>59</v>
      </c>
      <c r="BP6" t="s">
        <v>58</v>
      </c>
      <c r="BQ6">
        <v>1</v>
      </c>
      <c r="BR6" t="s">
        <v>59</v>
      </c>
      <c r="BS6" t="s">
        <v>49</v>
      </c>
      <c r="BT6" s="1">
        <f>0.693/BT7</f>
        <v>2.3099999999999999E-2</v>
      </c>
      <c r="BV6" t="s">
        <v>437</v>
      </c>
      <c r="BW6" s="1">
        <f>H6</f>
        <v>4.8099999999999997E-2</v>
      </c>
      <c r="BX6" t="s">
        <v>61</v>
      </c>
      <c r="BY6" t="s">
        <v>438</v>
      </c>
      <c r="BZ6" s="1">
        <f>K6</f>
        <v>4.8099999999999997E-2</v>
      </c>
      <c r="CA6" t="s">
        <v>61</v>
      </c>
      <c r="CB6" t="s">
        <v>58</v>
      </c>
      <c r="CC6">
        <v>26</v>
      </c>
      <c r="CD6" t="s">
        <v>59</v>
      </c>
      <c r="CE6" t="s">
        <v>58</v>
      </c>
      <c r="CF6">
        <v>26</v>
      </c>
      <c r="CG6" t="s">
        <v>59</v>
      </c>
      <c r="CH6" t="s">
        <v>58</v>
      </c>
      <c r="CI6">
        <v>26</v>
      </c>
      <c r="CJ6" t="s">
        <v>59</v>
      </c>
      <c r="CK6" t="s">
        <v>447</v>
      </c>
      <c r="CL6" s="1">
        <f>E35</f>
        <v>4.8099999999999997E-2</v>
      </c>
      <c r="CM6" t="s">
        <v>22</v>
      </c>
      <c r="CN6" t="s">
        <v>47</v>
      </c>
      <c r="CO6">
        <f>CO8</f>
        <v>5.0000000000000001E-3</v>
      </c>
      <c r="CQ6" t="s">
        <v>315</v>
      </c>
      <c r="CR6" s="17">
        <v>1</v>
      </c>
      <c r="CS6" t="s">
        <v>56</v>
      </c>
      <c r="CT6" t="s">
        <v>438</v>
      </c>
      <c r="CU6" s="1">
        <f>B19</f>
        <v>4.8099999999999997E-2</v>
      </c>
      <c r="CV6" t="s">
        <v>61</v>
      </c>
      <c r="CW6" t="s">
        <v>49</v>
      </c>
      <c r="CX6" s="1">
        <f>0.693/CX7</f>
        <v>2.3099999999999999E-2</v>
      </c>
      <c r="CZ6" t="s">
        <v>437</v>
      </c>
      <c r="DA6" s="1">
        <f>B18</f>
        <v>4.8099999999999997E-2</v>
      </c>
      <c r="DB6" t="s">
        <v>61</v>
      </c>
      <c r="DC6" t="s">
        <v>447</v>
      </c>
      <c r="DD6" s="1">
        <f>B28</f>
        <v>4.8099999999999997E-2</v>
      </c>
      <c r="DE6" t="s">
        <v>61</v>
      </c>
      <c r="DF6" t="s">
        <v>53</v>
      </c>
      <c r="DG6">
        <f>(DG8*DG9*DG14*((1-EXP(-DG11*DG12))))/(DG13*DG11)</f>
        <v>6.8274849094862002</v>
      </c>
      <c r="DH6" t="s">
        <v>45</v>
      </c>
      <c r="DI6" t="s">
        <v>54</v>
      </c>
      <c r="DJ6">
        <f>DJ8</f>
        <v>0.26</v>
      </c>
      <c r="DL6" t="s">
        <v>54</v>
      </c>
      <c r="DM6">
        <f>DM8</f>
        <v>0.26</v>
      </c>
      <c r="DO6" t="s">
        <v>53</v>
      </c>
      <c r="DP6">
        <f>(DP8*DP9*DP14*((1-EXP(-DP11*DP12))))/(DP13*DP11)</f>
        <v>9.2940667982112686</v>
      </c>
      <c r="DQ6" t="s">
        <v>45</v>
      </c>
      <c r="DR6" t="s">
        <v>447</v>
      </c>
      <c r="DS6" s="1">
        <f>B28</f>
        <v>4.8099999999999997E-2</v>
      </c>
      <c r="DT6" t="s">
        <v>61</v>
      </c>
      <c r="DU6" t="s">
        <v>55</v>
      </c>
      <c r="DV6">
        <v>92</v>
      </c>
      <c r="DW6" t="s">
        <v>56</v>
      </c>
      <c r="DX6" t="s">
        <v>54</v>
      </c>
      <c r="DY6">
        <f>DY8</f>
        <v>0.25</v>
      </c>
      <c r="EA6" t="s">
        <v>54</v>
      </c>
      <c r="EB6">
        <f>EB8</f>
        <v>0.25</v>
      </c>
      <c r="ED6" t="s">
        <v>54</v>
      </c>
      <c r="EE6">
        <f>EE8</f>
        <v>0.25</v>
      </c>
      <c r="EG6" t="s">
        <v>447</v>
      </c>
      <c r="EH6" s="1">
        <f>B28</f>
        <v>4.8099999999999997E-2</v>
      </c>
      <c r="EI6" t="s">
        <v>61</v>
      </c>
      <c r="EJ6" t="s">
        <v>57</v>
      </c>
      <c r="EK6">
        <v>53</v>
      </c>
      <c r="EL6" t="s">
        <v>56</v>
      </c>
      <c r="EM6" t="s">
        <v>54</v>
      </c>
      <c r="EN6">
        <f>EN8</f>
        <v>0.25</v>
      </c>
      <c r="EP6" t="s">
        <v>54</v>
      </c>
      <c r="EQ6">
        <f>EQ8</f>
        <v>0.25</v>
      </c>
      <c r="ES6" t="s">
        <v>54</v>
      </c>
      <c r="ET6">
        <f>ET8</f>
        <v>0.25</v>
      </c>
      <c r="EV6" t="s">
        <v>447</v>
      </c>
      <c r="EW6" s="1">
        <f>B28</f>
        <v>4.8099999999999997E-2</v>
      </c>
      <c r="EX6" t="s">
        <v>61</v>
      </c>
      <c r="EY6" t="s">
        <v>271</v>
      </c>
      <c r="EZ6">
        <v>0.4</v>
      </c>
      <c r="FA6" t="s">
        <v>56</v>
      </c>
      <c r="FB6" t="s">
        <v>54</v>
      </c>
      <c r="FC6">
        <f>FC8</f>
        <v>0.25</v>
      </c>
      <c r="FE6" t="s">
        <v>54</v>
      </c>
      <c r="FF6">
        <f>FF8</f>
        <v>0.25</v>
      </c>
      <c r="FH6" t="s">
        <v>54</v>
      </c>
      <c r="FI6">
        <f>FI8</f>
        <v>0.25</v>
      </c>
      <c r="FK6" t="s">
        <v>447</v>
      </c>
      <c r="FL6" s="1">
        <f>B28</f>
        <v>4.8099999999999997E-2</v>
      </c>
      <c r="FM6" t="s">
        <v>61</v>
      </c>
      <c r="FN6" t="s">
        <v>274</v>
      </c>
      <c r="FO6" s="17">
        <v>1</v>
      </c>
      <c r="FP6" t="s">
        <v>56</v>
      </c>
      <c r="FQ6" t="s">
        <v>296</v>
      </c>
      <c r="FR6" s="1">
        <v>8.1999999999999993</v>
      </c>
      <c r="FT6" t="s">
        <v>54</v>
      </c>
      <c r="FU6">
        <f>FU8</f>
        <v>0.25</v>
      </c>
      <c r="FW6" t="s">
        <v>54</v>
      </c>
      <c r="FX6">
        <f>FX8</f>
        <v>0.25</v>
      </c>
      <c r="FZ6" t="s">
        <v>447</v>
      </c>
      <c r="GA6" s="1">
        <f>B28</f>
        <v>4.8099999999999997E-2</v>
      </c>
      <c r="GB6" t="s">
        <v>61</v>
      </c>
      <c r="GC6" t="s">
        <v>272</v>
      </c>
      <c r="GD6">
        <v>0.4</v>
      </c>
      <c r="GE6" t="s">
        <v>56</v>
      </c>
      <c r="GF6" t="s">
        <v>54</v>
      </c>
      <c r="GG6">
        <f>GG8</f>
        <v>0.25</v>
      </c>
      <c r="GI6" t="s">
        <v>54</v>
      </c>
      <c r="GJ6">
        <f>GJ8</f>
        <v>0.25</v>
      </c>
      <c r="GL6" t="s">
        <v>54</v>
      </c>
      <c r="GM6">
        <f>GM8</f>
        <v>0.25</v>
      </c>
      <c r="GO6" t="s">
        <v>447</v>
      </c>
      <c r="GP6" s="1">
        <f>B28</f>
        <v>4.8099999999999997E-2</v>
      </c>
      <c r="GQ6" t="s">
        <v>61</v>
      </c>
      <c r="GR6" t="s">
        <v>273</v>
      </c>
      <c r="GS6">
        <v>11.4</v>
      </c>
      <c r="GT6" t="s">
        <v>56</v>
      </c>
      <c r="GU6" t="s">
        <v>54</v>
      </c>
      <c r="GV6">
        <f>GV8</f>
        <v>0.25</v>
      </c>
      <c r="GX6" t="s">
        <v>54</v>
      </c>
      <c r="GY6">
        <f>GY8</f>
        <v>0.25</v>
      </c>
      <c r="HA6" t="s">
        <v>54</v>
      </c>
      <c r="HB6">
        <f>HB8</f>
        <v>0.25</v>
      </c>
      <c r="HD6" t="s">
        <v>456</v>
      </c>
      <c r="HE6" s="1">
        <f>H3</f>
        <v>2.5760346726538066E-2</v>
      </c>
      <c r="HF6" t="s">
        <v>24</v>
      </c>
    </row>
    <row r="7" spans="1:214" x14ac:dyDescent="0.2">
      <c r="A7" s="424" t="s">
        <v>487</v>
      </c>
      <c r="B7" s="417">
        <v>5.0099999999999999E-2</v>
      </c>
      <c r="C7" s="418"/>
      <c r="D7" t="s">
        <v>411</v>
      </c>
      <c r="E7" s="1">
        <v>11000</v>
      </c>
      <c r="F7" t="s">
        <v>119</v>
      </c>
      <c r="G7" t="s">
        <v>436</v>
      </c>
      <c r="H7" s="1">
        <f>B17</f>
        <v>1.7E-5</v>
      </c>
      <c r="I7" t="s">
        <v>61</v>
      </c>
      <c r="J7" t="s">
        <v>436</v>
      </c>
      <c r="K7" s="1">
        <f>B17</f>
        <v>1.7E-5</v>
      </c>
      <c r="L7" t="s">
        <v>61</v>
      </c>
      <c r="M7" t="s">
        <v>49</v>
      </c>
      <c r="N7" s="1">
        <f>0.693/N8</f>
        <v>2.3099999999999999E-2</v>
      </c>
      <c r="P7" t="s">
        <v>49</v>
      </c>
      <c r="Q7" s="1">
        <f>0.693/Q8</f>
        <v>2.3099999999999999E-2</v>
      </c>
      <c r="S7" t="s">
        <v>49</v>
      </c>
      <c r="T7" s="1">
        <f>0.693/T8</f>
        <v>2.3099999999999999E-2</v>
      </c>
      <c r="V7" t="s">
        <v>411</v>
      </c>
      <c r="W7" s="1">
        <f>B29</f>
        <v>30</v>
      </c>
      <c r="X7" t="s">
        <v>119</v>
      </c>
      <c r="Y7" t="s">
        <v>411</v>
      </c>
      <c r="Z7" s="1">
        <f>B29</f>
        <v>30</v>
      </c>
      <c r="AA7" t="s">
        <v>119</v>
      </c>
      <c r="AI7" t="s">
        <v>49</v>
      </c>
      <c r="AJ7" s="1">
        <f>0.693/AJ8</f>
        <v>2.3099999999999999E-2</v>
      </c>
      <c r="AL7" t="s">
        <v>49</v>
      </c>
      <c r="AM7" s="1">
        <f>0.693/AM8</f>
        <v>2.3099999999999999E-2</v>
      </c>
      <c r="AO7" t="s">
        <v>49</v>
      </c>
      <c r="AP7" s="1">
        <f>0.693/AP8</f>
        <v>2.3099999999999999E-2</v>
      </c>
      <c r="AR7" t="s">
        <v>49</v>
      </c>
      <c r="AS7" s="1">
        <f>0.693/AS8</f>
        <v>2.3099999999999999E-2</v>
      </c>
      <c r="AU7" t="s">
        <v>49</v>
      </c>
      <c r="AV7" s="1">
        <f>0.693/AV8</f>
        <v>2.3099999999999999E-2</v>
      </c>
      <c r="AX7" t="s">
        <v>49</v>
      </c>
      <c r="AY7" s="1">
        <f>0.693/AY8</f>
        <v>2.3099999999999999E-2</v>
      </c>
      <c r="BA7" t="s">
        <v>49</v>
      </c>
      <c r="BB7" s="1">
        <f>0.693/BB8</f>
        <v>2.3099999999999999E-2</v>
      </c>
      <c r="BD7" t="s">
        <v>49</v>
      </c>
      <c r="BE7" s="1">
        <f>0.693/BE8</f>
        <v>2.3099999999999999E-2</v>
      </c>
      <c r="BG7" t="s">
        <v>49</v>
      </c>
      <c r="BH7" s="1">
        <f>0.693/BH8</f>
        <v>2.3099999999999999E-2</v>
      </c>
      <c r="BJ7" t="s">
        <v>49</v>
      </c>
      <c r="BK7" s="1">
        <f>0.693/BK8</f>
        <v>2.3099999999999999E-2</v>
      </c>
      <c r="BM7" t="s">
        <v>49</v>
      </c>
      <c r="BN7" s="1">
        <f>0.693/BN8</f>
        <v>2.3099999999999999E-2</v>
      </c>
      <c r="BP7" t="s">
        <v>49</v>
      </c>
      <c r="BQ7" s="1">
        <f>0.693/BQ8</f>
        <v>2.3099999999999999E-2</v>
      </c>
      <c r="BS7" t="s">
        <v>411</v>
      </c>
      <c r="BT7" s="1">
        <f>B29</f>
        <v>30</v>
      </c>
      <c r="BU7" t="s">
        <v>119</v>
      </c>
      <c r="BV7" t="s">
        <v>436</v>
      </c>
      <c r="BW7" s="1">
        <f>E10</f>
        <v>1.7E-5</v>
      </c>
      <c r="BX7" t="s">
        <v>61</v>
      </c>
      <c r="BY7" t="s">
        <v>436</v>
      </c>
      <c r="BZ7" s="1">
        <f>E10</f>
        <v>1.7E-5</v>
      </c>
      <c r="CA7" t="s">
        <v>61</v>
      </c>
      <c r="CB7" t="s">
        <v>49</v>
      </c>
      <c r="CC7" s="1">
        <f>0.693/CC8</f>
        <v>2.3099999999999999E-2</v>
      </c>
      <c r="CE7" t="s">
        <v>49</v>
      </c>
      <c r="CF7" s="1">
        <f>0.693/CF8</f>
        <v>2.3099999999999999E-2</v>
      </c>
      <c r="CH7" t="s">
        <v>49</v>
      </c>
      <c r="CI7" s="1">
        <f>0.693/CI8</f>
        <v>2.3099999999999999E-2</v>
      </c>
      <c r="CK7" t="s">
        <v>221</v>
      </c>
      <c r="CL7">
        <v>75</v>
      </c>
      <c r="CM7" t="s">
        <v>245</v>
      </c>
      <c r="CN7" t="s">
        <v>54</v>
      </c>
      <c r="CO7">
        <f>CO9</f>
        <v>0.25</v>
      </c>
      <c r="CR7">
        <v>1000</v>
      </c>
      <c r="CS7" t="s">
        <v>213</v>
      </c>
      <c r="CT7" t="s">
        <v>436</v>
      </c>
      <c r="CU7" s="1">
        <f>B17</f>
        <v>1.7E-5</v>
      </c>
      <c r="CV7" t="s">
        <v>61</v>
      </c>
      <c r="CW7" t="s">
        <v>411</v>
      </c>
      <c r="CX7" s="1">
        <f>B29</f>
        <v>30</v>
      </c>
      <c r="CY7" t="s">
        <v>119</v>
      </c>
      <c r="CZ7" t="s">
        <v>436</v>
      </c>
      <c r="DA7" s="1">
        <f>B17</f>
        <v>1.7E-5</v>
      </c>
      <c r="DB7" t="s">
        <v>61</v>
      </c>
      <c r="DC7" t="s">
        <v>451</v>
      </c>
      <c r="DD7" s="16">
        <f>(DD5)/(DD6*(DD8+DD11)*DD21)</f>
        <v>7.8390048696878141E-4</v>
      </c>
      <c r="DE7" t="s">
        <v>22</v>
      </c>
      <c r="DF7" t="s">
        <v>62</v>
      </c>
      <c r="DG7">
        <f>(DG8*DG9*DG15*DG21*((1-EXP(-DG16*DG17))))/(DG18*DG16)</f>
        <v>3.6385326157733249</v>
      </c>
      <c r="DH7" t="s">
        <v>45</v>
      </c>
      <c r="DI7" t="s">
        <v>63</v>
      </c>
      <c r="DJ7">
        <f>B40</f>
        <v>0.03</v>
      </c>
      <c r="DL7" t="s">
        <v>63</v>
      </c>
      <c r="DM7">
        <f>B40</f>
        <v>0.03</v>
      </c>
      <c r="DO7" t="s">
        <v>62</v>
      </c>
      <c r="DP7">
        <f>(DP8*DP9*DP15*DP21*((1-EXP(-DP16*DP17))))/(DP18*DP16)</f>
        <v>3.6424203206347228</v>
      </c>
      <c r="DQ7" t="s">
        <v>45</v>
      </c>
      <c r="DR7" t="s">
        <v>451</v>
      </c>
      <c r="DS7" s="16">
        <f>DS5/(DS6*DS8*DS17)</f>
        <v>1.0585415557348196E-4</v>
      </c>
      <c r="DT7" t="s">
        <v>22</v>
      </c>
      <c r="DX7" t="s">
        <v>64</v>
      </c>
      <c r="DY7">
        <f>B41</f>
        <v>10</v>
      </c>
      <c r="EA7" t="s">
        <v>64</v>
      </c>
      <c r="EB7">
        <f>B41</f>
        <v>10</v>
      </c>
      <c r="ED7" t="s">
        <v>64</v>
      </c>
      <c r="EE7">
        <f>B41</f>
        <v>10</v>
      </c>
      <c r="EG7" t="s">
        <v>451</v>
      </c>
      <c r="EH7" s="16">
        <f>EH5/(EH6*EH8*EH17)</f>
        <v>4.9985064394286293E-4</v>
      </c>
      <c r="EI7" t="s">
        <v>22</v>
      </c>
      <c r="EM7" t="s">
        <v>64</v>
      </c>
      <c r="EN7">
        <f>B41</f>
        <v>10</v>
      </c>
      <c r="EP7" t="s">
        <v>64</v>
      </c>
      <c r="EQ7">
        <f>B41</f>
        <v>10</v>
      </c>
      <c r="ES7" t="s">
        <v>64</v>
      </c>
      <c r="ET7">
        <f>B41</f>
        <v>10</v>
      </c>
      <c r="EV7" t="s">
        <v>451</v>
      </c>
      <c r="EW7" s="16">
        <f>EW5/(EW6*EW8*EW17)</f>
        <v>1.6664889839371009E-3</v>
      </c>
      <c r="EX7" t="s">
        <v>22</v>
      </c>
      <c r="EZ7">
        <v>1000</v>
      </c>
      <c r="FA7" t="s">
        <v>213</v>
      </c>
      <c r="FB7" t="s">
        <v>64</v>
      </c>
      <c r="FC7">
        <v>5.0000000000000001E-3</v>
      </c>
      <c r="FE7" t="s">
        <v>64</v>
      </c>
      <c r="FF7">
        <v>5.0000000000000001E-3</v>
      </c>
      <c r="FH7" t="s">
        <v>64</v>
      </c>
      <c r="FI7">
        <v>5.0000000000000001E-3</v>
      </c>
      <c r="FK7" t="s">
        <v>451</v>
      </c>
      <c r="FL7" s="16">
        <f>FL5/(FL6*FL8*FL17)</f>
        <v>5.4352022263779603E-4</v>
      </c>
      <c r="FM7" t="s">
        <v>22</v>
      </c>
      <c r="FO7">
        <v>1000</v>
      </c>
      <c r="FP7" t="s">
        <v>213</v>
      </c>
      <c r="FT7" t="s">
        <v>64</v>
      </c>
      <c r="FU7">
        <v>0.2</v>
      </c>
      <c r="FW7" t="s">
        <v>64</v>
      </c>
      <c r="FX7">
        <v>0.2</v>
      </c>
      <c r="FZ7" t="s">
        <v>451</v>
      </c>
      <c r="GA7" s="16">
        <f>GA5/(GA6*GA8*GA17)</f>
        <v>6.9535027841634647E-4</v>
      </c>
      <c r="GB7" t="s">
        <v>22</v>
      </c>
      <c r="GD7">
        <v>1000</v>
      </c>
      <c r="GE7" t="s">
        <v>213</v>
      </c>
      <c r="GF7" t="s">
        <v>64</v>
      </c>
      <c r="GG7">
        <v>5.0000000000000001E-3</v>
      </c>
      <c r="GI7" t="s">
        <v>64</v>
      </c>
      <c r="GJ7">
        <v>5.0000000000000001E-3</v>
      </c>
      <c r="GL7" t="s">
        <v>64</v>
      </c>
      <c r="GM7">
        <v>5.0000000000000001E-3</v>
      </c>
      <c r="GO7" t="s">
        <v>451</v>
      </c>
      <c r="GP7" s="16">
        <f>GP5/(GP6*GP8*GP16)</f>
        <v>8.9517017675564336E-4</v>
      </c>
      <c r="GQ7" t="s">
        <v>22</v>
      </c>
      <c r="GS7">
        <v>1000</v>
      </c>
      <c r="GT7" t="s">
        <v>213</v>
      </c>
      <c r="GU7" t="s">
        <v>64</v>
      </c>
      <c r="GV7">
        <v>5.0000000000000001E-3</v>
      </c>
      <c r="GX7" t="s">
        <v>64</v>
      </c>
      <c r="GY7">
        <v>5.0000000000000001E-3</v>
      </c>
      <c r="HA7" t="s">
        <v>64</v>
      </c>
      <c r="HB7">
        <v>5.0000000000000001E-3</v>
      </c>
      <c r="HD7" t="s">
        <v>49</v>
      </c>
      <c r="HE7" s="1">
        <f>0.693/HE8</f>
        <v>2.3099999999999999E-2</v>
      </c>
    </row>
    <row r="8" spans="1:214" x14ac:dyDescent="0.2">
      <c r="A8" s="424" t="s">
        <v>427</v>
      </c>
      <c r="B8" s="417">
        <v>0.72599999999999998</v>
      </c>
      <c r="C8" s="418"/>
      <c r="D8" t="s">
        <v>51</v>
      </c>
      <c r="E8">
        <v>350</v>
      </c>
      <c r="F8" t="s">
        <v>60</v>
      </c>
      <c r="G8" t="s">
        <v>446</v>
      </c>
      <c r="H8" s="1">
        <f>B27</f>
        <v>6.4500000000000001E-6</v>
      </c>
      <c r="I8" t="s">
        <v>61</v>
      </c>
      <c r="J8" t="s">
        <v>460</v>
      </c>
      <c r="K8" s="1">
        <f>B21</f>
        <v>3.19</v>
      </c>
      <c r="L8" t="s">
        <v>147</v>
      </c>
      <c r="M8" t="s">
        <v>411</v>
      </c>
      <c r="N8" s="1">
        <f>B29</f>
        <v>30</v>
      </c>
      <c r="O8" t="s">
        <v>119</v>
      </c>
      <c r="P8" t="s">
        <v>411</v>
      </c>
      <c r="Q8" s="1">
        <f>B29</f>
        <v>30</v>
      </c>
      <c r="R8" t="s">
        <v>119</v>
      </c>
      <c r="S8" t="s">
        <v>411</v>
      </c>
      <c r="T8" s="1">
        <f>B29</f>
        <v>30</v>
      </c>
      <c r="U8" t="s">
        <v>119</v>
      </c>
      <c r="V8" t="s">
        <v>51</v>
      </c>
      <c r="W8">
        <v>225</v>
      </c>
      <c r="X8" t="s">
        <v>60</v>
      </c>
      <c r="Y8" t="s">
        <v>51</v>
      </c>
      <c r="Z8">
        <v>250</v>
      </c>
      <c r="AA8" t="s">
        <v>60</v>
      </c>
      <c r="AB8" t="s">
        <v>66</v>
      </c>
      <c r="AC8">
        <v>250</v>
      </c>
      <c r="AD8">
        <v>250</v>
      </c>
      <c r="AE8">
        <v>225</v>
      </c>
      <c r="AF8">
        <f>AF12*AF13</f>
        <v>250</v>
      </c>
      <c r="AG8">
        <f>AG12*AG13</f>
        <v>250</v>
      </c>
      <c r="AH8" t="s">
        <v>52</v>
      </c>
      <c r="AI8" t="s">
        <v>411</v>
      </c>
      <c r="AJ8" s="1">
        <f>B29</f>
        <v>30</v>
      </c>
      <c r="AK8" t="s">
        <v>119</v>
      </c>
      <c r="AL8" t="s">
        <v>411</v>
      </c>
      <c r="AM8" s="1">
        <f>B29</f>
        <v>30</v>
      </c>
      <c r="AN8" t="s">
        <v>119</v>
      </c>
      <c r="AO8" t="s">
        <v>411</v>
      </c>
      <c r="AP8" s="1">
        <f>B29</f>
        <v>30</v>
      </c>
      <c r="AQ8" t="s">
        <v>119</v>
      </c>
      <c r="AR8" t="s">
        <v>411</v>
      </c>
      <c r="AS8" s="1">
        <f>B29</f>
        <v>30</v>
      </c>
      <c r="AT8" t="s">
        <v>119</v>
      </c>
      <c r="AU8" t="s">
        <v>411</v>
      </c>
      <c r="AV8" s="1">
        <f>B29</f>
        <v>30</v>
      </c>
      <c r="AW8" t="s">
        <v>119</v>
      </c>
      <c r="AX8" t="s">
        <v>411</v>
      </c>
      <c r="AY8" s="1">
        <f>B29</f>
        <v>30</v>
      </c>
      <c r="AZ8" t="s">
        <v>119</v>
      </c>
      <c r="BA8" t="s">
        <v>411</v>
      </c>
      <c r="BB8" s="1">
        <f>B29</f>
        <v>30</v>
      </c>
      <c r="BC8" t="s">
        <v>119</v>
      </c>
      <c r="BD8" t="s">
        <v>411</v>
      </c>
      <c r="BE8" s="1">
        <f>B29</f>
        <v>30</v>
      </c>
      <c r="BF8" t="s">
        <v>119</v>
      </c>
      <c r="BG8" t="s">
        <v>411</v>
      </c>
      <c r="BH8" s="1">
        <f>B29</f>
        <v>30</v>
      </c>
      <c r="BI8" t="s">
        <v>119</v>
      </c>
      <c r="BJ8" t="s">
        <v>411</v>
      </c>
      <c r="BK8" s="1">
        <f>B29</f>
        <v>30</v>
      </c>
      <c r="BL8" t="s">
        <v>119</v>
      </c>
      <c r="BM8" t="s">
        <v>411</v>
      </c>
      <c r="BN8" s="1">
        <f>B29</f>
        <v>30</v>
      </c>
      <c r="BO8" t="s">
        <v>119</v>
      </c>
      <c r="BP8" t="s">
        <v>411</v>
      </c>
      <c r="BQ8" s="1">
        <f>B29</f>
        <v>30</v>
      </c>
      <c r="BR8" t="s">
        <v>119</v>
      </c>
      <c r="BS8" t="s">
        <v>51</v>
      </c>
      <c r="BT8">
        <v>75</v>
      </c>
      <c r="BU8" t="s">
        <v>60</v>
      </c>
      <c r="BV8" t="s">
        <v>446</v>
      </c>
      <c r="BW8" s="1">
        <f>H8</f>
        <v>6.4500000000000001E-6</v>
      </c>
      <c r="BX8" t="s">
        <v>61</v>
      </c>
      <c r="BY8" t="s">
        <v>460</v>
      </c>
      <c r="BZ8" s="1">
        <f>K8</f>
        <v>3.19</v>
      </c>
      <c r="CA8" t="s">
        <v>147</v>
      </c>
      <c r="CB8" t="s">
        <v>411</v>
      </c>
      <c r="CC8" s="1">
        <f>B29</f>
        <v>30</v>
      </c>
      <c r="CD8" t="s">
        <v>119</v>
      </c>
      <c r="CE8" t="s">
        <v>411</v>
      </c>
      <c r="CF8" s="1">
        <f>B29</f>
        <v>30</v>
      </c>
      <c r="CG8" t="s">
        <v>119</v>
      </c>
      <c r="CH8" t="s">
        <v>411</v>
      </c>
      <c r="CI8" s="1">
        <f>B29</f>
        <v>30</v>
      </c>
      <c r="CJ8" t="s">
        <v>119</v>
      </c>
      <c r="CK8" t="s">
        <v>99</v>
      </c>
      <c r="CL8">
        <v>1</v>
      </c>
      <c r="CM8" t="s">
        <v>253</v>
      </c>
      <c r="CN8" t="s">
        <v>64</v>
      </c>
      <c r="CO8">
        <v>5.0000000000000001E-3</v>
      </c>
      <c r="CT8" t="s">
        <v>460</v>
      </c>
      <c r="CU8" s="1">
        <f>B21</f>
        <v>3.19</v>
      </c>
      <c r="CV8" t="s">
        <v>147</v>
      </c>
      <c r="CW8" t="s">
        <v>51</v>
      </c>
      <c r="CX8">
        <v>350</v>
      </c>
      <c r="CY8" t="s">
        <v>60</v>
      </c>
      <c r="CZ8" t="s">
        <v>461</v>
      </c>
      <c r="DA8" s="14">
        <f>B27</f>
        <v>6.4500000000000001E-6</v>
      </c>
      <c r="DB8" t="s">
        <v>61</v>
      </c>
      <c r="DC8" t="s">
        <v>469</v>
      </c>
      <c r="DD8" s="427">
        <f>(DD9*DD15*DD16*DD22)+(DD10*DD14*DD17*DD23)</f>
        <v>9024.75</v>
      </c>
      <c r="DE8" t="s">
        <v>213</v>
      </c>
      <c r="DF8" t="s">
        <v>68</v>
      </c>
      <c r="DG8">
        <v>3.62</v>
      </c>
      <c r="DH8" t="s">
        <v>69</v>
      </c>
      <c r="DI8" t="s">
        <v>70</v>
      </c>
      <c r="DJ8">
        <v>0.26</v>
      </c>
      <c r="DL8" t="s">
        <v>70</v>
      </c>
      <c r="DM8">
        <v>0.26</v>
      </c>
      <c r="DO8" t="s">
        <v>68</v>
      </c>
      <c r="DP8">
        <v>3.62</v>
      </c>
      <c r="DQ8" t="s">
        <v>69</v>
      </c>
      <c r="DR8" t="s">
        <v>257</v>
      </c>
      <c r="DS8" s="402">
        <f>(DS11*DS13*DS9*DS19)+(DS12*DS14*DS10*DS20)</f>
        <v>196402.5</v>
      </c>
      <c r="DT8" t="s">
        <v>213</v>
      </c>
      <c r="DX8" t="s">
        <v>70</v>
      </c>
      <c r="DY8">
        <v>0.25</v>
      </c>
      <c r="EA8" t="s">
        <v>70</v>
      </c>
      <c r="EB8">
        <v>0.25</v>
      </c>
      <c r="ED8" t="s">
        <v>70</v>
      </c>
      <c r="EE8">
        <v>0.25</v>
      </c>
      <c r="EG8" t="s">
        <v>258</v>
      </c>
      <c r="EH8" s="427">
        <f>(EH13*EH11*EH9*EH19)+(EH14*EH12*EH10*EH20)</f>
        <v>41592.465753424665</v>
      </c>
      <c r="EI8" t="s">
        <v>213</v>
      </c>
      <c r="EM8" t="s">
        <v>70</v>
      </c>
      <c r="EN8">
        <v>0.25</v>
      </c>
      <c r="EP8" t="s">
        <v>70</v>
      </c>
      <c r="EQ8">
        <v>0.25</v>
      </c>
      <c r="ES8" t="s">
        <v>70</v>
      </c>
      <c r="ET8">
        <v>0.25</v>
      </c>
      <c r="EV8" t="s">
        <v>260</v>
      </c>
      <c r="EW8" s="427">
        <f>(EW11*EW13*EW9*EW19)+(EW12*EW14*EW10*EW20)</f>
        <v>12475.342465753425</v>
      </c>
      <c r="EX8" t="s">
        <v>213</v>
      </c>
      <c r="FB8" t="s">
        <v>290</v>
      </c>
      <c r="FC8">
        <v>0.25</v>
      </c>
      <c r="FE8" t="s">
        <v>290</v>
      </c>
      <c r="FF8">
        <v>0.25</v>
      </c>
      <c r="FH8" t="s">
        <v>290</v>
      </c>
      <c r="FI8">
        <v>0.25</v>
      </c>
      <c r="FK8" t="s">
        <v>263</v>
      </c>
      <c r="FL8" s="427">
        <f>(FL13*FL9*FL11*FL19)+(FL14*FL10*FL12*FL20)</f>
        <v>38250.684931506847</v>
      </c>
      <c r="FM8" t="s">
        <v>213</v>
      </c>
      <c r="FT8" t="s">
        <v>285</v>
      </c>
      <c r="FU8">
        <v>0.25</v>
      </c>
      <c r="FW8" t="s">
        <v>285</v>
      </c>
      <c r="FX8">
        <v>0.25</v>
      </c>
      <c r="FZ8" t="s">
        <v>266</v>
      </c>
      <c r="GA8" s="427">
        <f>(GA11*GA9*GA13*GA19)+(GA14*GA10*GA12*GA20)</f>
        <v>29898.630136986299</v>
      </c>
      <c r="GB8" t="s">
        <v>213</v>
      </c>
      <c r="GF8" t="s">
        <v>279</v>
      </c>
      <c r="GG8">
        <v>0.25</v>
      </c>
      <c r="GI8" t="s">
        <v>279</v>
      </c>
      <c r="GJ8">
        <v>0.25</v>
      </c>
      <c r="GL8" t="s">
        <v>279</v>
      </c>
      <c r="GM8">
        <v>0.25</v>
      </c>
      <c r="GO8" t="s">
        <v>267</v>
      </c>
      <c r="GP8" s="427">
        <f>(GP13*GP9*GP11*GP18)+(GP14*GP10*GP12*GP19)</f>
        <v>23224.657534246577</v>
      </c>
      <c r="GQ8" t="s">
        <v>213</v>
      </c>
      <c r="GU8" t="s">
        <v>284</v>
      </c>
      <c r="GV8">
        <v>0.25</v>
      </c>
      <c r="GX8" t="s">
        <v>284</v>
      </c>
      <c r="GY8">
        <v>0.25</v>
      </c>
      <c r="HA8" t="s">
        <v>284</v>
      </c>
      <c r="HB8">
        <v>0.25</v>
      </c>
      <c r="HD8" t="s">
        <v>411</v>
      </c>
      <c r="HE8" s="1">
        <f>B29</f>
        <v>30</v>
      </c>
      <c r="HF8" t="s">
        <v>119</v>
      </c>
    </row>
    <row r="9" spans="1:214" x14ac:dyDescent="0.2">
      <c r="A9" s="424" t="s">
        <v>488</v>
      </c>
      <c r="B9" s="417">
        <v>7.2400000000000006E-2</v>
      </c>
      <c r="C9" s="418"/>
      <c r="D9" t="s">
        <v>65</v>
      </c>
      <c r="E9">
        <v>1</v>
      </c>
      <c r="F9" t="s">
        <v>59</v>
      </c>
      <c r="G9" t="s">
        <v>447</v>
      </c>
      <c r="H9" s="1">
        <f>B28</f>
        <v>4.8099999999999997E-2</v>
      </c>
      <c r="I9" t="s">
        <v>61</v>
      </c>
      <c r="J9" t="s">
        <v>447</v>
      </c>
      <c r="K9" s="1">
        <f>B28</f>
        <v>4.8099999999999997E-2</v>
      </c>
      <c r="L9" t="s">
        <v>61</v>
      </c>
      <c r="M9" t="s">
        <v>51</v>
      </c>
      <c r="N9">
        <v>350</v>
      </c>
      <c r="O9" t="s">
        <v>60</v>
      </c>
      <c r="P9" t="s">
        <v>51</v>
      </c>
      <c r="Q9">
        <v>350</v>
      </c>
      <c r="R9" t="s">
        <v>60</v>
      </c>
      <c r="S9" t="s">
        <v>51</v>
      </c>
      <c r="T9">
        <v>350</v>
      </c>
      <c r="U9" t="s">
        <v>60</v>
      </c>
      <c r="V9" t="s">
        <v>65</v>
      </c>
      <c r="W9">
        <v>1</v>
      </c>
      <c r="X9" t="s">
        <v>59</v>
      </c>
      <c r="Y9" t="s">
        <v>65</v>
      </c>
      <c r="Z9">
        <v>1</v>
      </c>
      <c r="AA9" t="s">
        <v>59</v>
      </c>
      <c r="AB9" t="s">
        <v>438</v>
      </c>
      <c r="AC9" s="1">
        <f>B19</f>
        <v>4.8099999999999997E-2</v>
      </c>
      <c r="AD9" s="1">
        <f>B19</f>
        <v>4.8099999999999997E-2</v>
      </c>
      <c r="AE9" s="1">
        <f>B19</f>
        <v>4.8099999999999997E-2</v>
      </c>
      <c r="AF9" s="1">
        <f>B19</f>
        <v>4.8099999999999997E-2</v>
      </c>
      <c r="AG9" s="1">
        <f>B19</f>
        <v>4.8099999999999997E-2</v>
      </c>
      <c r="AH9" t="s">
        <v>61</v>
      </c>
      <c r="AI9" t="s">
        <v>51</v>
      </c>
      <c r="AJ9">
        <v>250</v>
      </c>
      <c r="AK9" t="s">
        <v>60</v>
      </c>
      <c r="AL9" t="s">
        <v>51</v>
      </c>
      <c r="AM9">
        <v>250</v>
      </c>
      <c r="AN9" t="s">
        <v>60</v>
      </c>
      <c r="AO9" t="s">
        <v>51</v>
      </c>
      <c r="AP9">
        <v>250</v>
      </c>
      <c r="AQ9" t="s">
        <v>60</v>
      </c>
      <c r="AR9" t="s">
        <v>51</v>
      </c>
      <c r="AS9">
        <v>225</v>
      </c>
      <c r="AT9" t="s">
        <v>60</v>
      </c>
      <c r="AU9" t="s">
        <v>51</v>
      </c>
      <c r="AV9">
        <v>225</v>
      </c>
      <c r="AW9" t="s">
        <v>60</v>
      </c>
      <c r="AX9" t="s">
        <v>51</v>
      </c>
      <c r="AY9">
        <v>225</v>
      </c>
      <c r="AZ9" t="s">
        <v>60</v>
      </c>
      <c r="BA9" t="s">
        <v>51</v>
      </c>
      <c r="BB9">
        <v>250</v>
      </c>
      <c r="BC9" t="s">
        <v>60</v>
      </c>
      <c r="BD9" t="s">
        <v>51</v>
      </c>
      <c r="BE9">
        <v>250</v>
      </c>
      <c r="BF9" t="s">
        <v>60</v>
      </c>
      <c r="BG9" t="s">
        <v>51</v>
      </c>
      <c r="BH9">
        <v>250</v>
      </c>
      <c r="BI9" t="s">
        <v>60</v>
      </c>
      <c r="BJ9" t="s">
        <v>51</v>
      </c>
      <c r="BK9">
        <f>BK10*BK11</f>
        <v>250</v>
      </c>
      <c r="BL9" t="s">
        <v>60</v>
      </c>
      <c r="BM9" t="s">
        <v>51</v>
      </c>
      <c r="BN9">
        <f>BN10*BN11</f>
        <v>250</v>
      </c>
      <c r="BO9" t="s">
        <v>60</v>
      </c>
      <c r="BP9" t="s">
        <v>51</v>
      </c>
      <c r="BQ9">
        <f>BQ10*BQ11</f>
        <v>250</v>
      </c>
      <c r="BR9" t="s">
        <v>60</v>
      </c>
      <c r="BS9" t="s">
        <v>65</v>
      </c>
      <c r="BT9">
        <v>1</v>
      </c>
      <c r="BU9" t="s">
        <v>59</v>
      </c>
      <c r="BV9" t="s">
        <v>447</v>
      </c>
      <c r="BW9" s="1">
        <f>E35</f>
        <v>4.8099999999999997E-2</v>
      </c>
      <c r="BX9" t="s">
        <v>61</v>
      </c>
      <c r="BY9" t="s">
        <v>148</v>
      </c>
      <c r="BZ9" s="1">
        <f>B30</f>
        <v>1359344473.5814338</v>
      </c>
      <c r="CA9" t="s">
        <v>149</v>
      </c>
      <c r="CB9" t="s">
        <v>51</v>
      </c>
      <c r="CC9">
        <v>75</v>
      </c>
      <c r="CD9" t="s">
        <v>60</v>
      </c>
      <c r="CE9" t="s">
        <v>51</v>
      </c>
      <c r="CF9">
        <v>75</v>
      </c>
      <c r="CG9" t="s">
        <v>60</v>
      </c>
      <c r="CH9" t="s">
        <v>51</v>
      </c>
      <c r="CI9">
        <v>75</v>
      </c>
      <c r="CJ9" t="s">
        <v>60</v>
      </c>
      <c r="CK9" t="s">
        <v>300</v>
      </c>
      <c r="CL9" s="17">
        <v>1</v>
      </c>
      <c r="CM9" t="s">
        <v>380</v>
      </c>
      <c r="CN9" t="s">
        <v>310</v>
      </c>
      <c r="CO9" s="17">
        <v>0.25</v>
      </c>
      <c r="CT9" t="s">
        <v>447</v>
      </c>
      <c r="CU9" s="1">
        <f>B28</f>
        <v>4.8099999999999997E-2</v>
      </c>
      <c r="CV9" t="s">
        <v>61</v>
      </c>
      <c r="CW9" t="s">
        <v>65</v>
      </c>
      <c r="CX9">
        <v>1</v>
      </c>
      <c r="CY9" t="s">
        <v>59</v>
      </c>
      <c r="CZ9" t="s">
        <v>447</v>
      </c>
      <c r="DA9" s="1">
        <f>B28</f>
        <v>4.8099999999999997E-2</v>
      </c>
      <c r="DB9" t="s">
        <v>61</v>
      </c>
      <c r="DC9" t="s">
        <v>467</v>
      </c>
      <c r="DD9" s="1">
        <f>B54</f>
        <v>10.4</v>
      </c>
      <c r="DE9" t="s">
        <v>380</v>
      </c>
      <c r="DF9" t="s">
        <v>74</v>
      </c>
      <c r="DG9">
        <v>0.25</v>
      </c>
      <c r="DH9" t="s">
        <v>75</v>
      </c>
      <c r="DO9" t="s">
        <v>74</v>
      </c>
      <c r="DP9">
        <v>0.25</v>
      </c>
      <c r="DQ9" t="s">
        <v>75</v>
      </c>
      <c r="DR9" t="s">
        <v>254</v>
      </c>
      <c r="DS9">
        <f>B57</f>
        <v>256</v>
      </c>
      <c r="DT9" t="s">
        <v>380</v>
      </c>
      <c r="DX9" t="s">
        <v>317</v>
      </c>
      <c r="DY9" s="1">
        <f>B35</f>
        <v>8.0000000000000002E-3</v>
      </c>
      <c r="EA9" t="s">
        <v>317</v>
      </c>
      <c r="EB9" s="1">
        <f>B35</f>
        <v>8.0000000000000002E-3</v>
      </c>
      <c r="ED9" t="s">
        <v>317</v>
      </c>
      <c r="EE9" s="1">
        <f>B35</f>
        <v>8.0000000000000002E-3</v>
      </c>
      <c r="EG9" t="s">
        <v>91</v>
      </c>
      <c r="EH9">
        <f>4.7*1000/365</f>
        <v>12.876712328767123</v>
      </c>
      <c r="EI9" t="s">
        <v>380</v>
      </c>
      <c r="EM9" t="s">
        <v>318</v>
      </c>
      <c r="EN9" s="1">
        <f>B36</f>
        <v>0.03</v>
      </c>
      <c r="EP9" t="s">
        <v>318</v>
      </c>
      <c r="EQ9" s="1">
        <f>B36</f>
        <v>0.03</v>
      </c>
      <c r="ES9" t="s">
        <v>318</v>
      </c>
      <c r="ET9" s="1">
        <f>B36</f>
        <v>0.03</v>
      </c>
      <c r="EV9" t="s">
        <v>261</v>
      </c>
      <c r="EW9">
        <f>2.3*1000/365</f>
        <v>6.3013698630136989</v>
      </c>
      <c r="EX9" t="s">
        <v>380</v>
      </c>
      <c r="FB9" t="s">
        <v>319</v>
      </c>
      <c r="FC9" s="406">
        <f>B38</f>
        <v>0.4</v>
      </c>
      <c r="FE9" t="s">
        <v>319</v>
      </c>
      <c r="FF9" s="406">
        <f>B38</f>
        <v>0.4</v>
      </c>
      <c r="FH9" t="s">
        <v>319</v>
      </c>
      <c r="FI9" s="406">
        <f>B38</f>
        <v>0.4</v>
      </c>
      <c r="FK9" t="s">
        <v>235</v>
      </c>
      <c r="FL9">
        <f>6.4*1000/365</f>
        <v>17.534246575342465</v>
      </c>
      <c r="FM9" t="s">
        <v>380</v>
      </c>
      <c r="FT9" t="s">
        <v>320</v>
      </c>
      <c r="FU9" s="17">
        <v>1</v>
      </c>
      <c r="FW9" t="s">
        <v>320</v>
      </c>
      <c r="FX9" s="17">
        <v>1</v>
      </c>
      <c r="FZ9" t="s">
        <v>233</v>
      </c>
      <c r="GA9" s="15">
        <f>5*1000/365</f>
        <v>13.698630136986301</v>
      </c>
      <c r="GB9" t="s">
        <v>380</v>
      </c>
      <c r="GF9" t="s">
        <v>321</v>
      </c>
      <c r="GG9" s="406">
        <f>B37</f>
        <v>10</v>
      </c>
      <c r="GI9" t="s">
        <v>321</v>
      </c>
      <c r="GJ9" s="406">
        <f>B37</f>
        <v>10</v>
      </c>
      <c r="GL9" t="s">
        <v>321</v>
      </c>
      <c r="GM9" s="406">
        <f>B37</f>
        <v>10</v>
      </c>
      <c r="GO9" t="s">
        <v>269</v>
      </c>
      <c r="GP9">
        <f>4.5*1000/365</f>
        <v>12.328767123287671</v>
      </c>
      <c r="GQ9" t="s">
        <v>380</v>
      </c>
      <c r="GU9" t="s">
        <v>322</v>
      </c>
      <c r="GV9" s="406">
        <f>B39</f>
        <v>0.24</v>
      </c>
      <c r="GX9" t="s">
        <v>322</v>
      </c>
      <c r="GY9" s="406">
        <f>B39</f>
        <v>0.24</v>
      </c>
      <c r="HA9" t="s">
        <v>322</v>
      </c>
      <c r="HB9" s="406">
        <f>B39</f>
        <v>0.24</v>
      </c>
      <c r="HD9" t="s">
        <v>71</v>
      </c>
      <c r="HE9">
        <v>0.3</v>
      </c>
    </row>
    <row r="10" spans="1:214" x14ac:dyDescent="0.2">
      <c r="A10" s="424" t="s">
        <v>428</v>
      </c>
      <c r="B10" s="417">
        <v>0.73599999999999999</v>
      </c>
      <c r="C10" s="418"/>
      <c r="D10" t="s">
        <v>436</v>
      </c>
      <c r="E10" s="1">
        <f>B17</f>
        <v>1.7E-5</v>
      </c>
      <c r="F10" t="s">
        <v>61</v>
      </c>
      <c r="G10" t="s">
        <v>451</v>
      </c>
      <c r="H10" s="1">
        <f>H5/(H6*H15)</f>
        <v>2.8244358895419614E-2</v>
      </c>
      <c r="I10" t="s">
        <v>21</v>
      </c>
      <c r="J10" t="s">
        <v>148</v>
      </c>
      <c r="K10" s="1">
        <f>B30</f>
        <v>1359344473.5814338</v>
      </c>
      <c r="L10" t="s">
        <v>149</v>
      </c>
      <c r="M10" t="s">
        <v>65</v>
      </c>
      <c r="N10">
        <v>1</v>
      </c>
      <c r="O10" t="s">
        <v>59</v>
      </c>
      <c r="P10" t="s">
        <v>65</v>
      </c>
      <c r="Q10">
        <v>1</v>
      </c>
      <c r="R10" t="s">
        <v>59</v>
      </c>
      <c r="S10" t="s">
        <v>65</v>
      </c>
      <c r="T10">
        <v>1</v>
      </c>
      <c r="U10" t="s">
        <v>59</v>
      </c>
      <c r="V10" t="s">
        <v>436</v>
      </c>
      <c r="W10" s="1">
        <f>B17</f>
        <v>1.7E-5</v>
      </c>
      <c r="X10" t="s">
        <v>72</v>
      </c>
      <c r="Y10" t="s">
        <v>436</v>
      </c>
      <c r="Z10" s="1">
        <f>B17</f>
        <v>1.7E-5</v>
      </c>
      <c r="AA10" t="s">
        <v>72</v>
      </c>
      <c r="AI10" t="s">
        <v>65</v>
      </c>
      <c r="AJ10">
        <v>1</v>
      </c>
      <c r="AK10" t="s">
        <v>59</v>
      </c>
      <c r="AL10" t="s">
        <v>65</v>
      </c>
      <c r="AM10">
        <v>1</v>
      </c>
      <c r="AN10" t="s">
        <v>59</v>
      </c>
      <c r="AO10" t="s">
        <v>65</v>
      </c>
      <c r="AP10">
        <v>1</v>
      </c>
      <c r="AQ10" t="s">
        <v>59</v>
      </c>
      <c r="AR10" t="s">
        <v>65</v>
      </c>
      <c r="AS10">
        <v>1</v>
      </c>
      <c r="AT10" t="s">
        <v>59</v>
      </c>
      <c r="AU10" t="s">
        <v>65</v>
      </c>
      <c r="AV10">
        <v>1</v>
      </c>
      <c r="AW10" t="s">
        <v>59</v>
      </c>
      <c r="AX10" t="s">
        <v>65</v>
      </c>
      <c r="AY10">
        <v>1</v>
      </c>
      <c r="AZ10" t="s">
        <v>59</v>
      </c>
      <c r="BA10" t="s">
        <v>65</v>
      </c>
      <c r="BB10">
        <v>1</v>
      </c>
      <c r="BC10" t="s">
        <v>59</v>
      </c>
      <c r="BD10" t="s">
        <v>65</v>
      </c>
      <c r="BE10">
        <v>1</v>
      </c>
      <c r="BF10" t="s">
        <v>59</v>
      </c>
      <c r="BG10" t="s">
        <v>65</v>
      </c>
      <c r="BH10">
        <v>1</v>
      </c>
      <c r="BI10" t="s">
        <v>59</v>
      </c>
      <c r="BJ10" t="s">
        <v>378</v>
      </c>
      <c r="BK10">
        <v>50</v>
      </c>
      <c r="BL10" t="s">
        <v>389</v>
      </c>
      <c r="BM10" t="s">
        <v>378</v>
      </c>
      <c r="BN10">
        <v>50</v>
      </c>
      <c r="BO10" t="s">
        <v>389</v>
      </c>
      <c r="BP10" t="s">
        <v>378</v>
      </c>
      <c r="BQ10">
        <v>50</v>
      </c>
      <c r="BR10" t="s">
        <v>389</v>
      </c>
      <c r="BS10" t="s">
        <v>436</v>
      </c>
      <c r="BT10" s="1">
        <f>B17</f>
        <v>1.7E-5</v>
      </c>
      <c r="BU10" t="s">
        <v>61</v>
      </c>
      <c r="BV10" t="s">
        <v>451</v>
      </c>
      <c r="BW10" s="1">
        <f>BW5/(BW6*BW13)</f>
        <v>0.14085379939038475</v>
      </c>
      <c r="BX10" t="s">
        <v>21</v>
      </c>
      <c r="BY10" t="s">
        <v>37</v>
      </c>
      <c r="BZ10" s="1">
        <f>(BZ33*BZ11)/(1-EXP(-BZ11*BZ33))</f>
        <v>1.330180847185898</v>
      </c>
      <c r="CB10" t="s">
        <v>65</v>
      </c>
      <c r="CC10">
        <v>1</v>
      </c>
      <c r="CD10" t="s">
        <v>59</v>
      </c>
      <c r="CE10" t="s">
        <v>65</v>
      </c>
      <c r="CF10">
        <v>1</v>
      </c>
      <c r="CG10" t="s">
        <v>59</v>
      </c>
      <c r="CH10" t="s">
        <v>65</v>
      </c>
      <c r="CI10">
        <v>1</v>
      </c>
      <c r="CJ10" t="s">
        <v>59</v>
      </c>
      <c r="CN10" t="s">
        <v>308</v>
      </c>
      <c r="CO10" s="17">
        <v>1</v>
      </c>
      <c r="CP10" t="s">
        <v>431</v>
      </c>
      <c r="CT10" t="s">
        <v>148</v>
      </c>
      <c r="CU10" s="1">
        <f>B30</f>
        <v>1359344473.5814338</v>
      </c>
      <c r="CV10" t="s">
        <v>149</v>
      </c>
      <c r="CW10" t="s">
        <v>436</v>
      </c>
      <c r="CX10" s="1">
        <f>B17</f>
        <v>1.7E-5</v>
      </c>
      <c r="CY10" t="s">
        <v>61</v>
      </c>
      <c r="CZ10" t="s">
        <v>37</v>
      </c>
      <c r="DA10" s="1">
        <f>(DA39*DA11)/(1-EXP(-DA11*DA39))</f>
        <v>1.0115944671045347</v>
      </c>
      <c r="DC10" t="s">
        <v>468</v>
      </c>
      <c r="DD10" s="1">
        <f>B55</f>
        <v>28.5</v>
      </c>
      <c r="DE10" t="s">
        <v>380</v>
      </c>
      <c r="DF10" t="s">
        <v>63</v>
      </c>
      <c r="DG10">
        <f>B40</f>
        <v>0.03</v>
      </c>
      <c r="DO10" t="s">
        <v>63</v>
      </c>
      <c r="DP10">
        <f>B40</f>
        <v>0.03</v>
      </c>
      <c r="DR10" t="s">
        <v>255</v>
      </c>
      <c r="DS10">
        <f>B58</f>
        <v>615</v>
      </c>
      <c r="DT10" t="s">
        <v>380</v>
      </c>
      <c r="DX10" t="s">
        <v>84</v>
      </c>
      <c r="DY10">
        <v>16.899999999999999</v>
      </c>
      <c r="EA10" t="s">
        <v>84</v>
      </c>
      <c r="EB10">
        <v>16.899999999999999</v>
      </c>
      <c r="ED10" t="s">
        <v>84</v>
      </c>
      <c r="EE10">
        <v>16.899999999999999</v>
      </c>
      <c r="EG10" t="s">
        <v>109</v>
      </c>
      <c r="EH10">
        <f>50.2*1000/365</f>
        <v>137.53424657534248</v>
      </c>
      <c r="EI10" t="s">
        <v>380</v>
      </c>
      <c r="EM10" t="s">
        <v>85</v>
      </c>
      <c r="EN10">
        <v>11.77</v>
      </c>
      <c r="EP10" t="s">
        <v>85</v>
      </c>
      <c r="EQ10">
        <v>11.77</v>
      </c>
      <c r="ES10" t="s">
        <v>85</v>
      </c>
      <c r="ET10">
        <v>11.77</v>
      </c>
      <c r="EV10" t="s">
        <v>262</v>
      </c>
      <c r="EW10">
        <f>14.9*1000/365</f>
        <v>40.821917808219176</v>
      </c>
      <c r="EX10" t="s">
        <v>380</v>
      </c>
      <c r="FB10" t="s">
        <v>292</v>
      </c>
      <c r="FC10">
        <v>0.2</v>
      </c>
      <c r="FE10" t="s">
        <v>292</v>
      </c>
      <c r="FF10">
        <v>0.2</v>
      </c>
      <c r="FH10" t="s">
        <v>292</v>
      </c>
      <c r="FI10">
        <v>0.2</v>
      </c>
      <c r="FK10" t="s">
        <v>236</v>
      </c>
      <c r="FL10">
        <f>45.8*1000/365</f>
        <v>125.47945205479452</v>
      </c>
      <c r="FM10" t="s">
        <v>380</v>
      </c>
      <c r="FT10" t="s">
        <v>289</v>
      </c>
      <c r="FU10" s="17">
        <v>1</v>
      </c>
      <c r="FW10" t="s">
        <v>289</v>
      </c>
      <c r="FX10" s="17">
        <v>1</v>
      </c>
      <c r="FZ10" t="s">
        <v>234</v>
      </c>
      <c r="GA10">
        <f>35.8*1000/365</f>
        <v>98.082191780821915</v>
      </c>
      <c r="GB10" t="s">
        <v>380</v>
      </c>
      <c r="GF10" t="s">
        <v>275</v>
      </c>
      <c r="GG10">
        <v>0.2</v>
      </c>
      <c r="GI10" t="s">
        <v>275</v>
      </c>
      <c r="GJ10">
        <v>0.2</v>
      </c>
      <c r="GL10" t="s">
        <v>275</v>
      </c>
      <c r="GM10">
        <v>0.2</v>
      </c>
      <c r="GO10" t="s">
        <v>268</v>
      </c>
      <c r="GP10">
        <f>27.7*1000/365</f>
        <v>75.890410958904113</v>
      </c>
      <c r="GQ10" t="s">
        <v>380</v>
      </c>
      <c r="GU10" t="s">
        <v>280</v>
      </c>
      <c r="GV10">
        <v>4.7</v>
      </c>
      <c r="GX10" t="s">
        <v>280</v>
      </c>
      <c r="GY10">
        <v>4.7</v>
      </c>
      <c r="HA10" t="s">
        <v>280</v>
      </c>
      <c r="HB10">
        <v>4.7</v>
      </c>
      <c r="HD10" t="s">
        <v>76</v>
      </c>
      <c r="HE10" s="1">
        <v>1.5</v>
      </c>
    </row>
    <row r="11" spans="1:214" x14ac:dyDescent="0.2">
      <c r="A11" s="424" t="s">
        <v>489</v>
      </c>
      <c r="B11" s="417">
        <v>2.6599999999999999E-2</v>
      </c>
      <c r="C11" s="418"/>
      <c r="D11" t="s">
        <v>77</v>
      </c>
      <c r="E11" s="427">
        <f>((E14/E15)*E24*E12*E16*E26)+((E14/E15)*E25*E13*E17*E27)</f>
        <v>6192.3076923076924</v>
      </c>
      <c r="F11" t="s">
        <v>407</v>
      </c>
      <c r="G11" t="s">
        <v>452</v>
      </c>
      <c r="H11" s="1">
        <f>H5/(H7*H16*H28)</f>
        <v>18.998903909389842</v>
      </c>
      <c r="I11" t="s">
        <v>21</v>
      </c>
      <c r="J11" t="s">
        <v>37</v>
      </c>
      <c r="K11" s="1">
        <f>(K45*K12)/(1-EXP(-K12*K45))</f>
        <v>1.330180847185898</v>
      </c>
      <c r="M11" t="s">
        <v>462</v>
      </c>
      <c r="N11">
        <v>0.4</v>
      </c>
      <c r="P11" t="s">
        <v>462</v>
      </c>
      <c r="Q11">
        <v>0.4</v>
      </c>
      <c r="S11" t="s">
        <v>462</v>
      </c>
      <c r="T11">
        <v>0.4</v>
      </c>
      <c r="V11" t="s">
        <v>79</v>
      </c>
      <c r="W11">
        <v>8</v>
      </c>
      <c r="X11" t="s">
        <v>80</v>
      </c>
      <c r="Y11" t="s">
        <v>79</v>
      </c>
      <c r="Z11">
        <v>8</v>
      </c>
      <c r="AA11" t="s">
        <v>80</v>
      </c>
      <c r="AB11" t="s">
        <v>65</v>
      </c>
      <c r="AC11">
        <v>1</v>
      </c>
      <c r="AD11">
        <v>1</v>
      </c>
      <c r="AE11">
        <v>1</v>
      </c>
      <c r="AF11">
        <v>1</v>
      </c>
      <c r="AG11">
        <v>1</v>
      </c>
      <c r="AH11" t="s">
        <v>88</v>
      </c>
      <c r="AI11" t="s">
        <v>462</v>
      </c>
      <c r="AJ11">
        <v>0.4</v>
      </c>
      <c r="AL11" t="s">
        <v>462</v>
      </c>
      <c r="AM11">
        <v>0.4</v>
      </c>
      <c r="AO11" t="s">
        <v>462</v>
      </c>
      <c r="AP11">
        <v>0.4</v>
      </c>
      <c r="AR11" t="s">
        <v>462</v>
      </c>
      <c r="AS11">
        <v>0.4</v>
      </c>
      <c r="AU11" t="s">
        <v>462</v>
      </c>
      <c r="AV11">
        <v>0.4</v>
      </c>
      <c r="AX11" t="s">
        <v>462</v>
      </c>
      <c r="AY11">
        <v>0.4</v>
      </c>
      <c r="BA11" t="s">
        <v>462</v>
      </c>
      <c r="BB11">
        <v>0.4</v>
      </c>
      <c r="BD11" t="s">
        <v>462</v>
      </c>
      <c r="BE11">
        <v>0.4</v>
      </c>
      <c r="BG11" t="s">
        <v>462</v>
      </c>
      <c r="BH11">
        <v>0.4</v>
      </c>
      <c r="BJ11" t="s">
        <v>377</v>
      </c>
      <c r="BK11">
        <v>5</v>
      </c>
      <c r="BL11" t="s">
        <v>390</v>
      </c>
      <c r="BM11" t="s">
        <v>377</v>
      </c>
      <c r="BN11">
        <v>5</v>
      </c>
      <c r="BO11" t="s">
        <v>390</v>
      </c>
      <c r="BP11" t="s">
        <v>377</v>
      </c>
      <c r="BQ11">
        <v>5</v>
      </c>
      <c r="BR11" t="s">
        <v>390</v>
      </c>
      <c r="BS11" t="s">
        <v>77</v>
      </c>
      <c r="BT11" s="427">
        <f>(BT25*BT17*BT14*(1/24)*BT12*BT29)+(BT26*BT18*BT15*(1/24)*BT13*BT30)</f>
        <v>93.75</v>
      </c>
      <c r="BU11" t="s">
        <v>407</v>
      </c>
      <c r="BV11" t="s">
        <v>452</v>
      </c>
      <c r="BW11" s="1"/>
      <c r="BX11" t="s">
        <v>21</v>
      </c>
      <c r="BY11" t="s">
        <v>49</v>
      </c>
      <c r="BZ11" s="1">
        <f>0.693/BZ12</f>
        <v>2.3099999999999999E-2</v>
      </c>
      <c r="CB11" t="s">
        <v>463</v>
      </c>
      <c r="CC11" s="1">
        <f>B2</f>
        <v>8.5099999999999995E-2</v>
      </c>
      <c r="CE11" t="s">
        <v>463</v>
      </c>
      <c r="CF11" s="1">
        <f>B5</f>
        <v>4.3299999999999998E-2</v>
      </c>
      <c r="CH11" t="s">
        <v>463</v>
      </c>
      <c r="CI11" s="1">
        <f>B9</f>
        <v>7.2400000000000006E-2</v>
      </c>
      <c r="CN11" t="s">
        <v>305</v>
      </c>
      <c r="CO11" s="17">
        <v>1</v>
      </c>
      <c r="CP11" t="s">
        <v>431</v>
      </c>
      <c r="CT11" t="s">
        <v>37</v>
      </c>
      <c r="CU11" s="1">
        <f>(CU45*CU12)/(1-EXP(-CU12*CU45))</f>
        <v>1.5321557426384087</v>
      </c>
      <c r="CW11" t="s">
        <v>77</v>
      </c>
      <c r="CX11" s="427">
        <f>((CX15/24)*CX24*CX12*CX16*CX26)+((CX14/24)*CX25*CX13*CX17*CX27)</f>
        <v>6475</v>
      </c>
      <c r="CY11" t="s">
        <v>407</v>
      </c>
      <c r="CZ11" t="s">
        <v>49</v>
      </c>
      <c r="DA11" s="1">
        <f>0.693/DA12</f>
        <v>2.3099999999999999E-2</v>
      </c>
      <c r="DC11" t="s">
        <v>470</v>
      </c>
      <c r="DD11" s="427">
        <f>(DD12*DD15*DD16*DD22)+(DD13*DD14*DD17*DD23)</f>
        <v>17496.5</v>
      </c>
      <c r="DE11" t="s">
        <v>213</v>
      </c>
      <c r="DF11" t="s">
        <v>92</v>
      </c>
      <c r="DG11">
        <f>DG19+DG20</f>
        <v>8.9999999999999992E-5</v>
      </c>
      <c r="DO11" t="s">
        <v>92</v>
      </c>
      <c r="DP11">
        <f>DP19+DP20</f>
        <v>2.6999999999999999E-5</v>
      </c>
      <c r="DR11" t="s">
        <v>67</v>
      </c>
      <c r="DS11">
        <v>350</v>
      </c>
      <c r="DT11" t="s">
        <v>52</v>
      </c>
      <c r="DX11" t="s">
        <v>93</v>
      </c>
      <c r="DY11">
        <v>0.41</v>
      </c>
      <c r="EA11" t="s">
        <v>93</v>
      </c>
      <c r="EB11">
        <v>0.41</v>
      </c>
      <c r="ED11" t="s">
        <v>93</v>
      </c>
      <c r="EE11">
        <v>0.41</v>
      </c>
      <c r="EG11" t="s">
        <v>67</v>
      </c>
      <c r="EH11">
        <v>350</v>
      </c>
      <c r="EI11" t="s">
        <v>52</v>
      </c>
      <c r="EM11" t="s">
        <v>94</v>
      </c>
      <c r="EN11">
        <v>0.39</v>
      </c>
      <c r="EP11" t="s">
        <v>94</v>
      </c>
      <c r="EQ11">
        <v>0.39</v>
      </c>
      <c r="ES11" t="s">
        <v>94</v>
      </c>
      <c r="ET11">
        <v>0.39</v>
      </c>
      <c r="EV11" t="s">
        <v>385</v>
      </c>
      <c r="EW11">
        <v>350</v>
      </c>
      <c r="EX11" t="s">
        <v>52</v>
      </c>
      <c r="FB11" t="s">
        <v>291</v>
      </c>
      <c r="FC11">
        <v>2.1999999999999999E-2</v>
      </c>
      <c r="FE11" t="s">
        <v>291</v>
      </c>
      <c r="FF11">
        <v>2.1999999999999999E-2</v>
      </c>
      <c r="FH11" t="s">
        <v>291</v>
      </c>
      <c r="FI11">
        <v>2.1999999999999999E-2</v>
      </c>
      <c r="FK11" t="s">
        <v>385</v>
      </c>
      <c r="FL11">
        <v>350</v>
      </c>
      <c r="FM11" t="s">
        <v>52</v>
      </c>
      <c r="FT11" t="s">
        <v>288</v>
      </c>
      <c r="FU11" s="17">
        <v>1</v>
      </c>
      <c r="FW11" t="s">
        <v>288</v>
      </c>
      <c r="FX11" s="17">
        <v>1</v>
      </c>
      <c r="FZ11" t="s">
        <v>385</v>
      </c>
      <c r="GA11">
        <v>350</v>
      </c>
      <c r="GB11" t="s">
        <v>52</v>
      </c>
      <c r="GF11" t="s">
        <v>276</v>
      </c>
      <c r="GG11">
        <v>2.1999999999999999E-2</v>
      </c>
      <c r="GI11" t="s">
        <v>276</v>
      </c>
      <c r="GJ11">
        <v>2.1999999999999999E-2</v>
      </c>
      <c r="GL11" t="s">
        <v>276</v>
      </c>
      <c r="GM11">
        <v>2.1999999999999999E-2</v>
      </c>
      <c r="GO11" t="s">
        <v>385</v>
      </c>
      <c r="GP11">
        <v>350</v>
      </c>
      <c r="GQ11" t="s">
        <v>52</v>
      </c>
      <c r="GU11" t="s">
        <v>281</v>
      </c>
      <c r="GV11">
        <v>0.37</v>
      </c>
      <c r="GX11" t="s">
        <v>281</v>
      </c>
      <c r="GY11">
        <v>0.37</v>
      </c>
      <c r="HA11" t="s">
        <v>281</v>
      </c>
      <c r="HB11">
        <v>0.37</v>
      </c>
      <c r="HD11" t="s">
        <v>86</v>
      </c>
      <c r="HE11">
        <v>26</v>
      </c>
    </row>
    <row r="12" spans="1:214" ht="13.5" thickBot="1" x14ac:dyDescent="0.25">
      <c r="A12" s="421" t="s">
        <v>429</v>
      </c>
      <c r="B12" s="422">
        <v>0.46500000000000002</v>
      </c>
      <c r="C12" s="423"/>
      <c r="D12" t="s">
        <v>87</v>
      </c>
      <c r="E12">
        <f>B45</f>
        <v>10</v>
      </c>
      <c r="F12" t="s">
        <v>78</v>
      </c>
      <c r="G12" t="s">
        <v>457</v>
      </c>
      <c r="H12" s="1">
        <f>H5/(H8*(1/H45)*H21)</f>
        <v>5784998.0188362952</v>
      </c>
      <c r="I12" t="s">
        <v>21</v>
      </c>
      <c r="J12" t="s">
        <v>49</v>
      </c>
      <c r="K12" s="1">
        <f>0.693/K13</f>
        <v>2.3099999999999999E-2</v>
      </c>
      <c r="M12" t="s">
        <v>463</v>
      </c>
      <c r="N12" s="1">
        <f>B2</f>
        <v>8.5099999999999995E-2</v>
      </c>
      <c r="P12" t="s">
        <v>463</v>
      </c>
      <c r="Q12" s="1">
        <f>B5</f>
        <v>4.3299999999999998E-2</v>
      </c>
      <c r="S12" t="s">
        <v>463</v>
      </c>
      <c r="T12" s="1">
        <f>B9</f>
        <v>7.2400000000000006E-2</v>
      </c>
      <c r="W12">
        <v>24</v>
      </c>
      <c r="X12" t="s">
        <v>80</v>
      </c>
      <c r="Z12">
        <v>24</v>
      </c>
      <c r="AA12" t="s">
        <v>80</v>
      </c>
      <c r="AB12" t="s">
        <v>377</v>
      </c>
      <c r="AF12">
        <v>5</v>
      </c>
      <c r="AG12">
        <v>5</v>
      </c>
      <c r="AH12" t="s">
        <v>193</v>
      </c>
      <c r="AI12" t="s">
        <v>463</v>
      </c>
      <c r="AJ12" s="1">
        <f>B2</f>
        <v>8.5099999999999995E-2</v>
      </c>
      <c r="AL12" t="s">
        <v>463</v>
      </c>
      <c r="AM12" s="1">
        <f>B5</f>
        <v>4.3299999999999998E-2</v>
      </c>
      <c r="AO12" t="s">
        <v>463</v>
      </c>
      <c r="AP12" s="1">
        <f>B9</f>
        <v>7.2400000000000006E-2</v>
      </c>
      <c r="AR12" t="s">
        <v>463</v>
      </c>
      <c r="AS12" s="1">
        <f>B2</f>
        <v>8.5099999999999995E-2</v>
      </c>
      <c r="AU12" t="s">
        <v>463</v>
      </c>
      <c r="AV12" s="1">
        <f>B5</f>
        <v>4.3299999999999998E-2</v>
      </c>
      <c r="AX12" t="s">
        <v>463</v>
      </c>
      <c r="AY12" s="1">
        <f>B9</f>
        <v>7.2400000000000006E-2</v>
      </c>
      <c r="BA12" t="s">
        <v>463</v>
      </c>
      <c r="BB12" s="1">
        <f>B2</f>
        <v>8.5099999999999995E-2</v>
      </c>
      <c r="BD12" t="s">
        <v>463</v>
      </c>
      <c r="BE12" s="1">
        <f>B5</f>
        <v>4.3299999999999998E-2</v>
      </c>
      <c r="BG12" t="s">
        <v>463</v>
      </c>
      <c r="BH12" s="1">
        <f>B9</f>
        <v>7.2400000000000006E-2</v>
      </c>
      <c r="BJ12" t="s">
        <v>65</v>
      </c>
      <c r="BK12">
        <v>1</v>
      </c>
      <c r="BL12" t="s">
        <v>59</v>
      </c>
      <c r="BM12" t="s">
        <v>65</v>
      </c>
      <c r="BN12">
        <v>1</v>
      </c>
      <c r="BO12" t="s">
        <v>59</v>
      </c>
      <c r="BP12" t="s">
        <v>65</v>
      </c>
      <c r="BQ12">
        <v>1</v>
      </c>
      <c r="BR12" t="s">
        <v>59</v>
      </c>
      <c r="BS12" t="s">
        <v>87</v>
      </c>
      <c r="BT12">
        <f>B45</f>
        <v>10</v>
      </c>
      <c r="BU12" t="s">
        <v>78</v>
      </c>
      <c r="BV12" t="s">
        <v>457</v>
      </c>
      <c r="BW12" s="1">
        <f>BW5/(BW8*(1/BW32)*BW16)</f>
        <v>15090439.27648579</v>
      </c>
      <c r="BX12" t="s">
        <v>21</v>
      </c>
      <c r="BY12" t="s">
        <v>411</v>
      </c>
      <c r="BZ12" s="1">
        <f>B29</f>
        <v>30</v>
      </c>
      <c r="CA12" t="s">
        <v>119</v>
      </c>
      <c r="CB12" t="s">
        <v>105</v>
      </c>
      <c r="CC12" s="1">
        <f>B3</f>
        <v>0.74199999999999999</v>
      </c>
      <c r="CE12" t="s">
        <v>105</v>
      </c>
      <c r="CF12" s="1">
        <f>B6</f>
        <v>0.65300000000000002</v>
      </c>
      <c r="CH12" t="s">
        <v>105</v>
      </c>
      <c r="CI12" s="1">
        <f>B10</f>
        <v>0.73599999999999999</v>
      </c>
      <c r="CN12" t="s">
        <v>306</v>
      </c>
      <c r="CO12" s="17">
        <v>1</v>
      </c>
      <c r="CP12" t="s">
        <v>75</v>
      </c>
      <c r="CT12" t="s">
        <v>49</v>
      </c>
      <c r="CU12" s="1">
        <f>0.693/CU13</f>
        <v>2.3099999999999999E-2</v>
      </c>
      <c r="CW12" t="s">
        <v>87</v>
      </c>
      <c r="CX12">
        <f>B45</f>
        <v>10</v>
      </c>
      <c r="CY12" t="s">
        <v>78</v>
      </c>
      <c r="CZ12" t="s">
        <v>411</v>
      </c>
      <c r="DA12" s="1">
        <f>B29</f>
        <v>30</v>
      </c>
      <c r="DB12" t="s">
        <v>119</v>
      </c>
      <c r="DC12" t="s">
        <v>471</v>
      </c>
      <c r="DD12" s="1">
        <f>B52</f>
        <v>14.8</v>
      </c>
      <c r="DE12" t="s">
        <v>380</v>
      </c>
      <c r="DF12" t="s">
        <v>101</v>
      </c>
      <c r="DG12">
        <v>10950</v>
      </c>
      <c r="DH12" t="s">
        <v>102</v>
      </c>
      <c r="DO12" t="s">
        <v>101</v>
      </c>
      <c r="DP12">
        <v>10950</v>
      </c>
      <c r="DQ12" t="s">
        <v>102</v>
      </c>
      <c r="DR12" t="s">
        <v>73</v>
      </c>
      <c r="DS12">
        <v>350</v>
      </c>
      <c r="DT12" t="s">
        <v>52</v>
      </c>
      <c r="DX12" t="s">
        <v>103</v>
      </c>
      <c r="DY12">
        <v>1</v>
      </c>
      <c r="EA12" t="s">
        <v>103</v>
      </c>
      <c r="EB12">
        <v>1</v>
      </c>
      <c r="ED12" t="s">
        <v>103</v>
      </c>
      <c r="EE12">
        <v>1</v>
      </c>
      <c r="EG12" t="s">
        <v>73</v>
      </c>
      <c r="EH12">
        <v>350</v>
      </c>
      <c r="EI12" t="s">
        <v>52</v>
      </c>
      <c r="EM12" t="s">
        <v>104</v>
      </c>
      <c r="EN12">
        <v>1</v>
      </c>
      <c r="EP12" t="s">
        <v>104</v>
      </c>
      <c r="EQ12">
        <v>1</v>
      </c>
      <c r="ES12" t="s">
        <v>104</v>
      </c>
      <c r="ET12">
        <v>1</v>
      </c>
      <c r="EV12" t="s">
        <v>386</v>
      </c>
      <c r="EW12">
        <v>350</v>
      </c>
      <c r="EX12" t="s">
        <v>52</v>
      </c>
      <c r="FB12" t="s">
        <v>293</v>
      </c>
      <c r="FC12" s="17">
        <v>1</v>
      </c>
      <c r="FE12" t="s">
        <v>293</v>
      </c>
      <c r="FF12" s="17">
        <v>1</v>
      </c>
      <c r="FH12" t="s">
        <v>293</v>
      </c>
      <c r="FI12" s="17">
        <v>1</v>
      </c>
      <c r="FK12" t="s">
        <v>386</v>
      </c>
      <c r="FL12">
        <v>350</v>
      </c>
      <c r="FM12" t="s">
        <v>52</v>
      </c>
      <c r="FT12" t="s">
        <v>287</v>
      </c>
      <c r="FU12" s="17">
        <v>1</v>
      </c>
      <c r="FW12" t="s">
        <v>287</v>
      </c>
      <c r="FX12" s="17">
        <v>1</v>
      </c>
      <c r="FZ12" t="s">
        <v>386</v>
      </c>
      <c r="GA12">
        <v>350</v>
      </c>
      <c r="GB12" t="s">
        <v>52</v>
      </c>
      <c r="GF12" t="s">
        <v>277</v>
      </c>
      <c r="GG12">
        <v>1</v>
      </c>
      <c r="GI12" t="s">
        <v>277</v>
      </c>
      <c r="GJ12">
        <v>1</v>
      </c>
      <c r="GL12" t="s">
        <v>277</v>
      </c>
      <c r="GM12">
        <v>1</v>
      </c>
      <c r="GO12" t="s">
        <v>386</v>
      </c>
      <c r="GP12">
        <v>350</v>
      </c>
      <c r="GQ12" t="s">
        <v>52</v>
      </c>
      <c r="GU12" t="s">
        <v>282</v>
      </c>
      <c r="GV12">
        <v>1</v>
      </c>
      <c r="GX12" t="s">
        <v>282</v>
      </c>
      <c r="GY12">
        <v>1</v>
      </c>
      <c r="HA12" t="s">
        <v>282</v>
      </c>
      <c r="HB12">
        <v>1</v>
      </c>
      <c r="HE12" s="1"/>
    </row>
    <row r="13" spans="1:214" ht="13.5" thickTop="1" x14ac:dyDescent="0.2">
      <c r="A13" s="442" t="s">
        <v>413</v>
      </c>
      <c r="B13" s="443"/>
      <c r="C13" s="444"/>
      <c r="D13" t="s">
        <v>95</v>
      </c>
      <c r="E13">
        <f>B46</f>
        <v>20</v>
      </c>
      <c r="F13" t="s">
        <v>78</v>
      </c>
      <c r="G13" t="s">
        <v>454</v>
      </c>
      <c r="H13" s="1">
        <f>H14/((1/H42)*(H50+H51+H52))</f>
        <v>0.29749345542044936</v>
      </c>
      <c r="I13" t="s">
        <v>21</v>
      </c>
      <c r="J13" t="s">
        <v>411</v>
      </c>
      <c r="K13" s="1">
        <f>B29</f>
        <v>30</v>
      </c>
      <c r="L13" t="s">
        <v>119</v>
      </c>
      <c r="M13" t="s">
        <v>105</v>
      </c>
      <c r="N13" s="1">
        <f>B3</f>
        <v>0.74199999999999999</v>
      </c>
      <c r="P13" t="s">
        <v>105</v>
      </c>
      <c r="Q13" s="1">
        <f>B6</f>
        <v>0.65300000000000002</v>
      </c>
      <c r="S13" t="s">
        <v>105</v>
      </c>
      <c r="T13" s="1">
        <f>B10</f>
        <v>0.73599999999999999</v>
      </c>
      <c r="V13" t="s">
        <v>96</v>
      </c>
      <c r="W13">
        <f>B47</f>
        <v>60</v>
      </c>
      <c r="X13" t="s">
        <v>78</v>
      </c>
      <c r="Y13" t="s">
        <v>96</v>
      </c>
      <c r="Z13">
        <f>B47</f>
        <v>60</v>
      </c>
      <c r="AA13" t="s">
        <v>78</v>
      </c>
      <c r="AB13" t="s">
        <v>378</v>
      </c>
      <c r="AF13">
        <v>50</v>
      </c>
      <c r="AG13">
        <v>50</v>
      </c>
      <c r="AH13" t="s">
        <v>379</v>
      </c>
      <c r="AI13" t="s">
        <v>105</v>
      </c>
      <c r="AJ13" s="1">
        <f>B3</f>
        <v>0.74199999999999999</v>
      </c>
      <c r="AL13" t="s">
        <v>105</v>
      </c>
      <c r="AM13" s="1">
        <f>B6</f>
        <v>0.65300000000000002</v>
      </c>
      <c r="AO13" t="s">
        <v>105</v>
      </c>
      <c r="AP13" s="1">
        <f>B10</f>
        <v>0.73599999999999999</v>
      </c>
      <c r="AR13" t="s">
        <v>105</v>
      </c>
      <c r="AS13" s="1">
        <f>B3</f>
        <v>0.74199999999999999</v>
      </c>
      <c r="AU13" t="s">
        <v>105</v>
      </c>
      <c r="AV13" s="1">
        <f>B6</f>
        <v>0.65300000000000002</v>
      </c>
      <c r="AX13" t="s">
        <v>105</v>
      </c>
      <c r="AY13" s="1">
        <f>B10</f>
        <v>0.73599999999999999</v>
      </c>
      <c r="BA13" t="s">
        <v>105</v>
      </c>
      <c r="BB13" s="1">
        <f>B3</f>
        <v>0.74199999999999999</v>
      </c>
      <c r="BD13" t="s">
        <v>105</v>
      </c>
      <c r="BE13" s="1">
        <f>B6</f>
        <v>0.65300000000000002</v>
      </c>
      <c r="BG13" t="s">
        <v>105</v>
      </c>
      <c r="BH13" s="1">
        <f>B10</f>
        <v>0.73599999999999999</v>
      </c>
      <c r="BJ13" t="s">
        <v>463</v>
      </c>
      <c r="BK13" s="1">
        <f>B2</f>
        <v>8.5099999999999995E-2</v>
      </c>
      <c r="BM13" t="s">
        <v>463</v>
      </c>
      <c r="BN13" s="1">
        <f>B5</f>
        <v>4.3299999999999998E-2</v>
      </c>
      <c r="BP13" t="s">
        <v>463</v>
      </c>
      <c r="BQ13" s="1">
        <f>B9</f>
        <v>7.2400000000000006E-2</v>
      </c>
      <c r="BS13" t="s">
        <v>95</v>
      </c>
      <c r="BT13">
        <f>B46</f>
        <v>20</v>
      </c>
      <c r="BU13" t="s">
        <v>78</v>
      </c>
      <c r="BV13" t="s">
        <v>81</v>
      </c>
      <c r="BW13" s="426">
        <f>((BW18*BW21*BW23*BW26*BW14*BW33)+(BW19*BW22*BW24*BW27*BW15*BW34))</f>
        <v>147.6</v>
      </c>
      <c r="BX13" t="s">
        <v>180</v>
      </c>
      <c r="BY13" t="s">
        <v>451</v>
      </c>
      <c r="BZ13" s="1">
        <f>(BZ5/(BZ6*BZ16*(1/BZ36)))*BZ10</f>
        <v>1.2290883318881016</v>
      </c>
      <c r="CA13" t="s">
        <v>22</v>
      </c>
      <c r="CB13" t="s">
        <v>166</v>
      </c>
      <c r="CC13">
        <v>1</v>
      </c>
      <c r="CD13" t="s">
        <v>117</v>
      </c>
      <c r="CE13" t="s">
        <v>166</v>
      </c>
      <c r="CF13">
        <v>1</v>
      </c>
      <c r="CG13" t="s">
        <v>117</v>
      </c>
      <c r="CH13" t="s">
        <v>166</v>
      </c>
      <c r="CI13">
        <v>1</v>
      </c>
      <c r="CJ13" t="s">
        <v>117</v>
      </c>
      <c r="CN13" t="s">
        <v>307</v>
      </c>
      <c r="CO13" s="17">
        <v>1</v>
      </c>
      <c r="CP13" t="s">
        <v>75</v>
      </c>
      <c r="CT13" t="s">
        <v>411</v>
      </c>
      <c r="CU13" s="1">
        <f>B29</f>
        <v>30</v>
      </c>
      <c r="CV13" t="s">
        <v>119</v>
      </c>
      <c r="CW13" t="s">
        <v>95</v>
      </c>
      <c r="CX13">
        <f>B46</f>
        <v>20</v>
      </c>
      <c r="CY13" t="s">
        <v>78</v>
      </c>
      <c r="CZ13" t="s">
        <v>451</v>
      </c>
      <c r="DA13" s="1">
        <f>DA5/(DA6*DA24)</f>
        <v>2.6494228099937289E-2</v>
      </c>
      <c r="DB13" t="s">
        <v>24</v>
      </c>
      <c r="DC13" t="s">
        <v>472</v>
      </c>
      <c r="DD13" s="1">
        <f>B53</f>
        <v>56.2</v>
      </c>
      <c r="DE13" t="s">
        <v>380</v>
      </c>
      <c r="DF13" t="s">
        <v>110</v>
      </c>
      <c r="DG13">
        <v>240</v>
      </c>
      <c r="DH13" t="s">
        <v>111</v>
      </c>
      <c r="DO13" t="s">
        <v>110</v>
      </c>
      <c r="DP13">
        <v>240</v>
      </c>
      <c r="DQ13" t="s">
        <v>111</v>
      </c>
      <c r="DR13" t="s">
        <v>227</v>
      </c>
      <c r="DS13">
        <v>1</v>
      </c>
      <c r="DT13" t="s">
        <v>119</v>
      </c>
      <c r="DX13" t="s">
        <v>112</v>
      </c>
      <c r="DY13">
        <v>1</v>
      </c>
      <c r="EA13" t="s">
        <v>112</v>
      </c>
      <c r="EB13">
        <v>1</v>
      </c>
      <c r="ED13" t="s">
        <v>112</v>
      </c>
      <c r="EE13">
        <v>1</v>
      </c>
      <c r="EG13" t="s">
        <v>227</v>
      </c>
      <c r="EH13">
        <v>1</v>
      </c>
      <c r="EI13" t="s">
        <v>119</v>
      </c>
      <c r="EM13" t="s">
        <v>113</v>
      </c>
      <c r="EN13">
        <v>1</v>
      </c>
      <c r="EP13" t="s">
        <v>113</v>
      </c>
      <c r="EQ13">
        <v>1</v>
      </c>
      <c r="ES13" t="s">
        <v>113</v>
      </c>
      <c r="ET13">
        <v>1</v>
      </c>
      <c r="EV13" t="s">
        <v>227</v>
      </c>
      <c r="EW13">
        <v>1</v>
      </c>
      <c r="EX13" t="s">
        <v>119</v>
      </c>
      <c r="FB13" t="s">
        <v>294</v>
      </c>
      <c r="FC13" s="17">
        <v>1</v>
      </c>
      <c r="FE13" t="s">
        <v>294</v>
      </c>
      <c r="FF13" s="17">
        <v>1</v>
      </c>
      <c r="FH13" t="s">
        <v>294</v>
      </c>
      <c r="FI13" s="17">
        <v>1</v>
      </c>
      <c r="FK13" t="s">
        <v>227</v>
      </c>
      <c r="FL13">
        <v>1</v>
      </c>
      <c r="FM13" t="s">
        <v>119</v>
      </c>
      <c r="FT13" t="s">
        <v>286</v>
      </c>
      <c r="FU13" s="17">
        <v>1</v>
      </c>
      <c r="FW13" t="s">
        <v>286</v>
      </c>
      <c r="FX13" s="17">
        <v>1</v>
      </c>
      <c r="FZ13" t="s">
        <v>227</v>
      </c>
      <c r="GA13">
        <v>1</v>
      </c>
      <c r="GB13" t="s">
        <v>119</v>
      </c>
      <c r="GF13" t="s">
        <v>278</v>
      </c>
      <c r="GG13">
        <v>1</v>
      </c>
      <c r="GI13" t="s">
        <v>278</v>
      </c>
      <c r="GJ13">
        <v>1</v>
      </c>
      <c r="GL13" t="s">
        <v>278</v>
      </c>
      <c r="GM13">
        <v>1</v>
      </c>
      <c r="GO13" t="s">
        <v>227</v>
      </c>
      <c r="GP13">
        <v>1</v>
      </c>
      <c r="GQ13" t="s">
        <v>119</v>
      </c>
      <c r="GU13" t="s">
        <v>283</v>
      </c>
      <c r="GV13">
        <v>1</v>
      </c>
      <c r="GX13" t="s">
        <v>283</v>
      </c>
      <c r="GY13">
        <v>1</v>
      </c>
      <c r="HA13" t="s">
        <v>283</v>
      </c>
      <c r="HB13">
        <v>1</v>
      </c>
      <c r="HD13" t="s">
        <v>391</v>
      </c>
      <c r="HE13" s="1">
        <v>10</v>
      </c>
    </row>
    <row r="14" spans="1:214" x14ac:dyDescent="0.2">
      <c r="A14" s="445"/>
      <c r="B14" s="446"/>
      <c r="C14" s="447"/>
      <c r="D14" t="s">
        <v>106</v>
      </c>
      <c r="E14">
        <v>24</v>
      </c>
      <c r="F14" t="s">
        <v>80</v>
      </c>
      <c r="G14" t="s">
        <v>455</v>
      </c>
      <c r="H14" s="1">
        <f>H5/(H9*(H22+H25)*H43)</f>
        <v>3.3479331116443621E-3</v>
      </c>
      <c r="I14" t="s">
        <v>22</v>
      </c>
      <c r="J14" t="s">
        <v>451</v>
      </c>
      <c r="K14" s="1">
        <f>(K5/(K6*K19*(1/K48)))*K11</f>
        <v>0.6419791733522674</v>
      </c>
      <c r="L14" t="s">
        <v>22</v>
      </c>
      <c r="M14" t="s">
        <v>114</v>
      </c>
      <c r="N14">
        <v>7.2999999999999995E-2</v>
      </c>
      <c r="O14" t="s">
        <v>115</v>
      </c>
      <c r="P14" t="s">
        <v>114</v>
      </c>
      <c r="Q14">
        <v>7.2999999999999995E-2</v>
      </c>
      <c r="R14" t="s">
        <v>115</v>
      </c>
      <c r="S14" t="s">
        <v>114</v>
      </c>
      <c r="T14">
        <v>7.2999999999999995E-2</v>
      </c>
      <c r="U14" t="s">
        <v>115</v>
      </c>
      <c r="V14" t="s">
        <v>445</v>
      </c>
      <c r="W14" s="1">
        <f>B26</f>
        <v>2.3899999999999998E-9</v>
      </c>
      <c r="X14" t="s">
        <v>107</v>
      </c>
      <c r="Y14" t="s">
        <v>445</v>
      </c>
      <c r="Z14" s="1">
        <f>B26</f>
        <v>2.3899999999999998E-9</v>
      </c>
      <c r="AA14" t="s">
        <v>107</v>
      </c>
      <c r="AB14" t="s">
        <v>116</v>
      </c>
      <c r="AF14">
        <v>8</v>
      </c>
      <c r="AG14">
        <v>8</v>
      </c>
      <c r="AH14" t="s">
        <v>80</v>
      </c>
      <c r="AI14" t="s">
        <v>114</v>
      </c>
      <c r="AJ14">
        <v>0</v>
      </c>
      <c r="AK14" t="s">
        <v>115</v>
      </c>
      <c r="AL14" t="s">
        <v>114</v>
      </c>
      <c r="AM14">
        <v>0</v>
      </c>
      <c r="AN14" t="s">
        <v>115</v>
      </c>
      <c r="AO14" t="s">
        <v>114</v>
      </c>
      <c r="AP14">
        <v>0</v>
      </c>
      <c r="AQ14" t="s">
        <v>115</v>
      </c>
      <c r="AR14" t="s">
        <v>114</v>
      </c>
      <c r="AS14">
        <f>8/24</f>
        <v>0.33333333333333331</v>
      </c>
      <c r="AT14" t="s">
        <v>115</v>
      </c>
      <c r="AU14" t="s">
        <v>114</v>
      </c>
      <c r="AV14">
        <f>8/24</f>
        <v>0.33333333333333331</v>
      </c>
      <c r="AW14" t="s">
        <v>115</v>
      </c>
      <c r="AX14" t="s">
        <v>116</v>
      </c>
      <c r="AY14">
        <f>8/24</f>
        <v>0.33333333333333331</v>
      </c>
      <c r="AZ14" t="s">
        <v>117</v>
      </c>
      <c r="BA14" t="s">
        <v>114</v>
      </c>
      <c r="BB14">
        <f>8/24</f>
        <v>0.33333333333333331</v>
      </c>
      <c r="BC14" t="s">
        <v>115</v>
      </c>
      <c r="BD14" t="s">
        <v>114</v>
      </c>
      <c r="BE14">
        <f>8/24</f>
        <v>0.33333333333333331</v>
      </c>
      <c r="BF14" t="s">
        <v>115</v>
      </c>
      <c r="BG14" t="s">
        <v>116</v>
      </c>
      <c r="BH14">
        <f>8/24</f>
        <v>0.33333333333333331</v>
      </c>
      <c r="BI14" t="s">
        <v>117</v>
      </c>
      <c r="BJ14" t="s">
        <v>105</v>
      </c>
      <c r="BK14" s="1">
        <f>B3</f>
        <v>0.74199999999999999</v>
      </c>
      <c r="BM14" t="s">
        <v>105</v>
      </c>
      <c r="BN14" s="1">
        <f>B6</f>
        <v>0.65300000000000002</v>
      </c>
      <c r="BP14" t="s">
        <v>105</v>
      </c>
      <c r="BQ14" s="1">
        <f>B10</f>
        <v>0.73599999999999999</v>
      </c>
      <c r="BS14" t="s">
        <v>399</v>
      </c>
      <c r="BT14">
        <v>1</v>
      </c>
      <c r="BU14" t="s">
        <v>80</v>
      </c>
      <c r="BV14" t="s">
        <v>97</v>
      </c>
      <c r="BW14">
        <f>B50</f>
        <v>0.78</v>
      </c>
      <c r="BX14" t="s">
        <v>89</v>
      </c>
      <c r="BY14" t="s">
        <v>452</v>
      </c>
      <c r="BZ14" s="1">
        <f>(BZ5/(BZ7*BZ17*(1/BZ9)*BZ35))*BZ10</f>
        <v>1134540538.6578951</v>
      </c>
      <c r="CA14" t="s">
        <v>22</v>
      </c>
      <c r="CB14" t="s">
        <v>460</v>
      </c>
      <c r="CC14" s="1">
        <f>B21</f>
        <v>3.19</v>
      </c>
      <c r="CD14" t="s">
        <v>121</v>
      </c>
      <c r="CE14" t="s">
        <v>460</v>
      </c>
      <c r="CF14" s="1">
        <f>B23</f>
        <v>0.63600000000000001</v>
      </c>
      <c r="CG14" t="s">
        <v>121</v>
      </c>
      <c r="CH14" t="s">
        <v>460</v>
      </c>
      <c r="CI14" s="1">
        <f>B25</f>
        <v>2.83</v>
      </c>
      <c r="CJ14" t="s">
        <v>121</v>
      </c>
      <c r="CT14" t="s">
        <v>451</v>
      </c>
      <c r="CU14" s="1">
        <f>(CU5/(CU6*CU25*(1/CU48)))*CU11</f>
        <v>0.791392540198814</v>
      </c>
      <c r="CV14" t="s">
        <v>22</v>
      </c>
      <c r="CW14" t="s">
        <v>165</v>
      </c>
      <c r="CX14">
        <v>24</v>
      </c>
      <c r="CY14" t="s">
        <v>80</v>
      </c>
      <c r="CZ14" t="s">
        <v>452</v>
      </c>
      <c r="DA14" s="1">
        <f>DA5/(DA7*DA25*DA47)</f>
        <v>18.169429934135817</v>
      </c>
      <c r="DB14" t="s">
        <v>24</v>
      </c>
      <c r="DC14" t="s">
        <v>247</v>
      </c>
      <c r="DD14">
        <v>350</v>
      </c>
      <c r="DE14" t="s">
        <v>52</v>
      </c>
      <c r="DF14" t="s">
        <v>120</v>
      </c>
      <c r="DG14">
        <v>0.26</v>
      </c>
      <c r="DO14" t="s">
        <v>120</v>
      </c>
      <c r="DP14">
        <v>0.26</v>
      </c>
      <c r="DR14" t="s">
        <v>228</v>
      </c>
      <c r="DS14">
        <v>1</v>
      </c>
      <c r="DT14" t="s">
        <v>119</v>
      </c>
      <c r="ED14" t="s">
        <v>120</v>
      </c>
      <c r="EE14">
        <v>0.25</v>
      </c>
      <c r="EG14" t="s">
        <v>228</v>
      </c>
      <c r="EH14">
        <v>1</v>
      </c>
      <c r="EI14" t="s">
        <v>119</v>
      </c>
      <c r="ES14" t="s">
        <v>120</v>
      </c>
      <c r="ET14">
        <v>0.25</v>
      </c>
      <c r="EV14" t="s">
        <v>228</v>
      </c>
      <c r="EW14">
        <v>1</v>
      </c>
      <c r="EX14" t="s">
        <v>119</v>
      </c>
      <c r="FH14" t="s">
        <v>120</v>
      </c>
      <c r="FI14">
        <v>0.25</v>
      </c>
      <c r="FK14" t="s">
        <v>228</v>
      </c>
      <c r="FL14">
        <v>1</v>
      </c>
      <c r="FM14" t="s">
        <v>119</v>
      </c>
      <c r="FT14" t="s">
        <v>186</v>
      </c>
      <c r="FU14" s="1">
        <f>B34</f>
        <v>2000</v>
      </c>
      <c r="FW14" t="s">
        <v>120</v>
      </c>
      <c r="FX14">
        <v>0.25</v>
      </c>
      <c r="FZ14" t="s">
        <v>228</v>
      </c>
      <c r="GA14">
        <v>1</v>
      </c>
      <c r="GB14" t="s">
        <v>119</v>
      </c>
      <c r="GL14" t="s">
        <v>279</v>
      </c>
      <c r="GM14">
        <v>0.25</v>
      </c>
      <c r="GO14" t="s">
        <v>228</v>
      </c>
      <c r="GP14">
        <v>1</v>
      </c>
      <c r="GQ14" t="s">
        <v>119</v>
      </c>
      <c r="HA14" t="s">
        <v>120</v>
      </c>
      <c r="HB14">
        <v>0.25</v>
      </c>
      <c r="HD14" t="s">
        <v>118</v>
      </c>
      <c r="HE14">
        <v>8.1999999999999993</v>
      </c>
    </row>
    <row r="15" spans="1:214" ht="13.5" thickBot="1" x14ac:dyDescent="0.25">
      <c r="A15" s="445"/>
      <c r="B15" s="446"/>
      <c r="C15" s="447"/>
      <c r="E15">
        <v>24</v>
      </c>
      <c r="F15" t="s">
        <v>80</v>
      </c>
      <c r="G15" t="s">
        <v>81</v>
      </c>
      <c r="H15" s="3">
        <f>(H32*H29*H17*H70)+(H33*H30*H18*H71)</f>
        <v>736.07692307692309</v>
      </c>
      <c r="I15" t="s">
        <v>180</v>
      </c>
      <c r="J15" t="s">
        <v>452</v>
      </c>
      <c r="K15" s="1">
        <f>(K5/(K7*K20*(1/K10)*K47))*K11</f>
        <v>17176661.881854776</v>
      </c>
      <c r="L15" t="s">
        <v>22</v>
      </c>
      <c r="M15" t="s">
        <v>460</v>
      </c>
      <c r="N15" s="1">
        <f>B21</f>
        <v>3.19</v>
      </c>
      <c r="O15" t="s">
        <v>121</v>
      </c>
      <c r="P15" t="s">
        <v>460</v>
      </c>
      <c r="Q15" s="1">
        <f>B23</f>
        <v>0.63600000000000001</v>
      </c>
      <c r="R15" t="s">
        <v>121</v>
      </c>
      <c r="S15" t="s">
        <v>460</v>
      </c>
      <c r="T15" s="1">
        <f>B25</f>
        <v>2.83</v>
      </c>
      <c r="U15" t="s">
        <v>121</v>
      </c>
      <c r="V15" t="s">
        <v>464</v>
      </c>
      <c r="W15" s="1">
        <f>B2</f>
        <v>8.5099999999999995E-2</v>
      </c>
      <c r="Y15" t="s">
        <v>464</v>
      </c>
      <c r="Z15" s="1">
        <f>B2</f>
        <v>8.5099999999999995E-2</v>
      </c>
      <c r="AB15" t="s">
        <v>124</v>
      </c>
      <c r="AC15">
        <v>1</v>
      </c>
      <c r="AD15">
        <v>1</v>
      </c>
      <c r="AE15">
        <v>1</v>
      </c>
      <c r="AF15">
        <v>1</v>
      </c>
      <c r="AG15">
        <v>1</v>
      </c>
      <c r="AI15" t="s">
        <v>460</v>
      </c>
      <c r="AJ15" s="1">
        <f>B21</f>
        <v>3.19</v>
      </c>
      <c r="AK15" t="s">
        <v>121</v>
      </c>
      <c r="AL15" t="s">
        <v>460</v>
      </c>
      <c r="AM15" s="1">
        <f>B23</f>
        <v>0.63600000000000001</v>
      </c>
      <c r="AN15" t="s">
        <v>121</v>
      </c>
      <c r="AO15" t="s">
        <v>460</v>
      </c>
      <c r="AP15" s="1">
        <f>B25</f>
        <v>2.83</v>
      </c>
      <c r="AQ15" t="s">
        <v>121</v>
      </c>
      <c r="AR15" t="s">
        <v>460</v>
      </c>
      <c r="AS15" s="1">
        <f>B21</f>
        <v>3.19</v>
      </c>
      <c r="AT15" t="s">
        <v>121</v>
      </c>
      <c r="AU15" t="s">
        <v>460</v>
      </c>
      <c r="AV15" s="1">
        <f>B23</f>
        <v>0.63600000000000001</v>
      </c>
      <c r="AW15" t="s">
        <v>121</v>
      </c>
      <c r="AX15" t="s">
        <v>460</v>
      </c>
      <c r="AY15" s="1">
        <f>B25</f>
        <v>2.83</v>
      </c>
      <c r="AZ15" t="s">
        <v>121</v>
      </c>
      <c r="BA15" t="s">
        <v>460</v>
      </c>
      <c r="BB15" s="1">
        <f>B21</f>
        <v>3.19</v>
      </c>
      <c r="BC15" t="s">
        <v>121</v>
      </c>
      <c r="BD15" t="s">
        <v>460</v>
      </c>
      <c r="BE15" s="1">
        <f>B23</f>
        <v>0.63600000000000001</v>
      </c>
      <c r="BF15" t="s">
        <v>121</v>
      </c>
      <c r="BG15" t="s">
        <v>460</v>
      </c>
      <c r="BH15" s="1">
        <f>B25</f>
        <v>2.83</v>
      </c>
      <c r="BI15" t="s">
        <v>121</v>
      </c>
      <c r="BJ15" t="s">
        <v>114</v>
      </c>
      <c r="BK15">
        <f>8/24</f>
        <v>0.33333333333333331</v>
      </c>
      <c r="BL15" t="s">
        <v>115</v>
      </c>
      <c r="BM15" t="s">
        <v>114</v>
      </c>
      <c r="BN15">
        <f>8/24</f>
        <v>0.33333333333333331</v>
      </c>
      <c r="BO15" t="s">
        <v>115</v>
      </c>
      <c r="BP15" t="s">
        <v>116</v>
      </c>
      <c r="BQ15">
        <f>8/24</f>
        <v>0.33333333333333331</v>
      </c>
      <c r="BR15" t="s">
        <v>117</v>
      </c>
      <c r="BS15" t="s">
        <v>398</v>
      </c>
      <c r="BT15">
        <v>1</v>
      </c>
      <c r="BU15" t="s">
        <v>80</v>
      </c>
      <c r="BV15" t="s">
        <v>123</v>
      </c>
      <c r="BW15">
        <f>B51</f>
        <v>2.5</v>
      </c>
      <c r="BX15" t="s">
        <v>89</v>
      </c>
      <c r="BY15" t="s">
        <v>453</v>
      </c>
      <c r="BZ15" s="1">
        <f>((BZ5)/(BZ8*BZ22*(1/BZ34)*BZ25*BZ28*(1/24)*BZ31*BZ32))*BZ10</f>
        <v>771.31075060286173</v>
      </c>
      <c r="CA15" t="s">
        <v>22</v>
      </c>
      <c r="CT15" t="s">
        <v>452</v>
      </c>
      <c r="CU15" s="1">
        <f>(CU5/(CU7*CU26*(1/CU10)*CU47))*CU11</f>
        <v>18920985.159405667</v>
      </c>
      <c r="CV15" t="s">
        <v>22</v>
      </c>
      <c r="CW15" t="s">
        <v>163</v>
      </c>
      <c r="CX15">
        <v>24</v>
      </c>
      <c r="CY15" t="s">
        <v>80</v>
      </c>
      <c r="CZ15" t="s">
        <v>457</v>
      </c>
      <c r="DA15" s="1">
        <f>DA5/(DA8*DA26*(DA48/DA49))</f>
        <v>5668953.5005059838</v>
      </c>
      <c r="DB15" t="s">
        <v>24</v>
      </c>
      <c r="DC15" t="s">
        <v>246</v>
      </c>
      <c r="DD15">
        <v>350</v>
      </c>
      <c r="DE15" t="s">
        <v>52</v>
      </c>
      <c r="DF15" t="s">
        <v>125</v>
      </c>
      <c r="DG15">
        <v>0.42</v>
      </c>
      <c r="DH15" t="s">
        <v>75</v>
      </c>
      <c r="DO15" t="s">
        <v>125</v>
      </c>
      <c r="DP15">
        <v>0.42</v>
      </c>
      <c r="DQ15" t="s">
        <v>75</v>
      </c>
      <c r="DR15" t="s">
        <v>229</v>
      </c>
      <c r="DS15">
        <v>1</v>
      </c>
      <c r="DT15" t="s">
        <v>119</v>
      </c>
      <c r="ED15" t="s">
        <v>55</v>
      </c>
      <c r="EE15">
        <v>92</v>
      </c>
      <c r="EF15" t="s">
        <v>56</v>
      </c>
      <c r="EG15" t="s">
        <v>229</v>
      </c>
      <c r="EH15">
        <v>1</v>
      </c>
      <c r="EI15" t="s">
        <v>119</v>
      </c>
      <c r="ES15" t="s">
        <v>57</v>
      </c>
      <c r="ET15">
        <v>53</v>
      </c>
      <c r="EU15" t="s">
        <v>56</v>
      </c>
      <c r="EV15" t="s">
        <v>229</v>
      </c>
      <c r="EW15">
        <v>1</v>
      </c>
      <c r="EX15" t="s">
        <v>119</v>
      </c>
      <c r="FH15" t="s">
        <v>271</v>
      </c>
      <c r="FI15">
        <v>0.4</v>
      </c>
      <c r="FJ15" t="s">
        <v>56</v>
      </c>
      <c r="FK15" t="s">
        <v>229</v>
      </c>
      <c r="FL15">
        <v>1</v>
      </c>
      <c r="FM15" t="s">
        <v>119</v>
      </c>
      <c r="FT15" t="s">
        <v>296</v>
      </c>
      <c r="FU15" s="1">
        <v>8.1999999999999993</v>
      </c>
      <c r="FW15" t="s">
        <v>274</v>
      </c>
      <c r="FX15" s="17">
        <v>1</v>
      </c>
      <c r="FY15" t="s">
        <v>56</v>
      </c>
      <c r="FZ15" t="s">
        <v>229</v>
      </c>
      <c r="GA15">
        <v>1</v>
      </c>
      <c r="GB15" t="s">
        <v>119</v>
      </c>
      <c r="GL15" t="s">
        <v>272</v>
      </c>
      <c r="GM15">
        <v>0.4</v>
      </c>
      <c r="GN15" t="s">
        <v>56</v>
      </c>
      <c r="GO15" t="s">
        <v>229</v>
      </c>
      <c r="GP15">
        <v>1</v>
      </c>
      <c r="GQ15" t="s">
        <v>119</v>
      </c>
      <c r="HA15" t="s">
        <v>273</v>
      </c>
      <c r="HB15">
        <v>11.4</v>
      </c>
      <c r="HC15" t="s">
        <v>56</v>
      </c>
    </row>
    <row r="16" spans="1:214" ht="14.25" thickTop="1" thickBot="1" x14ac:dyDescent="0.25">
      <c r="A16" s="448"/>
      <c r="B16" s="449"/>
      <c r="C16" s="450"/>
      <c r="D16" t="s">
        <v>122</v>
      </c>
      <c r="E16">
        <v>1</v>
      </c>
      <c r="F16" t="s">
        <v>59</v>
      </c>
      <c r="G16" t="s">
        <v>77</v>
      </c>
      <c r="H16" s="426">
        <f>(H29*H19*H32*H70)+(H30*H20*H33*H71)</f>
        <v>6192.3076923076924</v>
      </c>
      <c r="I16" t="s">
        <v>407</v>
      </c>
      <c r="J16" t="s">
        <v>453</v>
      </c>
      <c r="K16" s="1">
        <f>(K5/(K8*K44*((K39*K43*(1/K37))+(K40*K42*(1/K37)))*K32*(1/K46)*K33))*K11</f>
        <v>2.094469887119212</v>
      </c>
      <c r="L16" t="s">
        <v>22</v>
      </c>
      <c r="M16" t="s">
        <v>136</v>
      </c>
      <c r="N16">
        <v>0.68300000000000005</v>
      </c>
      <c r="O16" t="s">
        <v>115</v>
      </c>
      <c r="P16" t="s">
        <v>136</v>
      </c>
      <c r="Q16">
        <v>0.68300000000000005</v>
      </c>
      <c r="R16" t="s">
        <v>115</v>
      </c>
      <c r="S16" t="s">
        <v>136</v>
      </c>
      <c r="T16">
        <v>0.68300000000000005</v>
      </c>
      <c r="U16" t="s">
        <v>115</v>
      </c>
      <c r="V16" t="s">
        <v>452</v>
      </c>
      <c r="W16" s="1">
        <f>(W5)/((W11/W12)*W8*W9*W10*W13)</f>
        <v>13.071895424836599</v>
      </c>
      <c r="X16" t="s">
        <v>36</v>
      </c>
      <c r="Y16" t="s">
        <v>452</v>
      </c>
      <c r="Z16" s="1">
        <f>(Z5)/((Z11/Z12)*Z8*Z9*Z10*Z13)</f>
        <v>11.764705882352942</v>
      </c>
      <c r="AA16" t="s">
        <v>36</v>
      </c>
      <c r="AB16" t="s">
        <v>128</v>
      </c>
      <c r="AC16">
        <v>100</v>
      </c>
      <c r="AD16">
        <v>50</v>
      </c>
      <c r="AE16">
        <v>100</v>
      </c>
      <c r="AF16">
        <v>330</v>
      </c>
      <c r="AG16">
        <v>330</v>
      </c>
      <c r="AI16" t="s">
        <v>136</v>
      </c>
      <c r="AJ16">
        <f>8/24</f>
        <v>0.33333333333333331</v>
      </c>
      <c r="AK16" t="s">
        <v>115</v>
      </c>
      <c r="AL16" t="s">
        <v>136</v>
      </c>
      <c r="AM16">
        <f>8/24</f>
        <v>0.33333333333333331</v>
      </c>
      <c r="AN16" t="s">
        <v>115</v>
      </c>
      <c r="AO16" t="s">
        <v>136</v>
      </c>
      <c r="AP16">
        <f>8/24</f>
        <v>0.33333333333333331</v>
      </c>
      <c r="AQ16" t="s">
        <v>115</v>
      </c>
      <c r="AR16" t="s">
        <v>136</v>
      </c>
      <c r="AS16">
        <v>0</v>
      </c>
      <c r="AT16" t="s">
        <v>115</v>
      </c>
      <c r="AU16" t="s">
        <v>136</v>
      </c>
      <c r="AV16">
        <v>0</v>
      </c>
      <c r="AW16" t="s">
        <v>115</v>
      </c>
      <c r="AX16" t="s">
        <v>136</v>
      </c>
      <c r="AY16">
        <v>0</v>
      </c>
      <c r="AZ16" t="s">
        <v>115</v>
      </c>
      <c r="BA16" t="s">
        <v>136</v>
      </c>
      <c r="BB16">
        <v>0</v>
      </c>
      <c r="BC16" t="s">
        <v>115</v>
      </c>
      <c r="BD16" t="s">
        <v>136</v>
      </c>
      <c r="BE16">
        <v>0</v>
      </c>
      <c r="BF16" t="s">
        <v>115</v>
      </c>
      <c r="BG16" t="s">
        <v>136</v>
      </c>
      <c r="BH16">
        <v>0</v>
      </c>
      <c r="BI16" t="s">
        <v>115</v>
      </c>
      <c r="BJ16" t="s">
        <v>460</v>
      </c>
      <c r="BK16" s="1">
        <f>B21</f>
        <v>3.19</v>
      </c>
      <c r="BL16" t="s">
        <v>121</v>
      </c>
      <c r="BM16" t="s">
        <v>460</v>
      </c>
      <c r="BN16" s="1">
        <f>B23</f>
        <v>0.63600000000000001</v>
      </c>
      <c r="BO16" t="s">
        <v>121</v>
      </c>
      <c r="BP16" t="s">
        <v>460</v>
      </c>
      <c r="BQ16" s="1">
        <f>B25</f>
        <v>2.83</v>
      </c>
      <c r="BR16" t="s">
        <v>121</v>
      </c>
      <c r="BS16" t="s">
        <v>166</v>
      </c>
      <c r="BT16">
        <v>1</v>
      </c>
      <c r="BU16" t="s">
        <v>80</v>
      </c>
      <c r="BV16" t="s">
        <v>240</v>
      </c>
      <c r="BW16" s="427">
        <f>((BW18*BW21*BW23*BW26*BW33)+(BW19*BW22*BW24*BW27*BW34))</f>
        <v>90</v>
      </c>
      <c r="BX16" t="s">
        <v>408</v>
      </c>
      <c r="BY16" t="s">
        <v>82</v>
      </c>
      <c r="BZ16" s="427">
        <f>(BZ18*BZ22*BZ27*BZ37)+(BZ19*BZ23*BZ26*BZ38)</f>
        <v>22500</v>
      </c>
      <c r="CA16" t="s">
        <v>406</v>
      </c>
      <c r="CB16" s="403" t="s">
        <v>8</v>
      </c>
      <c r="CC16" s="76" t="s">
        <v>394</v>
      </c>
      <c r="CD16" s="77" t="s">
        <v>0</v>
      </c>
      <c r="CE16" s="230" t="s">
        <v>8</v>
      </c>
      <c r="CF16" s="76" t="s">
        <v>183</v>
      </c>
      <c r="CG16" s="77" t="s">
        <v>0</v>
      </c>
      <c r="CK16" s="394" t="s">
        <v>8</v>
      </c>
      <c r="CL16" s="395" t="s">
        <v>302</v>
      </c>
      <c r="CM16" s="396" t="s">
        <v>0</v>
      </c>
      <c r="CN16" s="76" t="s">
        <v>8</v>
      </c>
      <c r="CO16" s="76" t="s">
        <v>302</v>
      </c>
      <c r="CP16" s="77" t="s">
        <v>0</v>
      </c>
      <c r="CQ16" s="230" t="s">
        <v>8</v>
      </c>
      <c r="CR16" s="76" t="s">
        <v>302</v>
      </c>
      <c r="CS16" s="77" t="s">
        <v>0</v>
      </c>
      <c r="CT16" t="s">
        <v>453</v>
      </c>
      <c r="CU16" s="1">
        <f>(CU5/(CU8*CU44*((CU39*CU43*(1/CU37))+(CU40*CU42*(1/CU37)))*CU32*(1/CU46)*CU33))*CU11</f>
        <v>3.2153345040493067</v>
      </c>
      <c r="CV16" t="s">
        <v>22</v>
      </c>
      <c r="CW16" t="s">
        <v>122</v>
      </c>
      <c r="CX16">
        <v>1</v>
      </c>
      <c r="CY16" t="s">
        <v>59</v>
      </c>
      <c r="CZ16" t="s">
        <v>476</v>
      </c>
      <c r="DA16" s="1">
        <f>DG3</f>
        <v>6.9656488584855625E-2</v>
      </c>
      <c r="DB16" t="s">
        <v>24</v>
      </c>
      <c r="DC16" t="s">
        <v>227</v>
      </c>
      <c r="DD16">
        <v>1</v>
      </c>
      <c r="DE16" t="s">
        <v>119</v>
      </c>
      <c r="DF16" t="s">
        <v>129</v>
      </c>
      <c r="DG16">
        <f>DG20+(0.693/DG22)</f>
        <v>4.9562999999999996E-2</v>
      </c>
      <c r="DH16" t="s">
        <v>130</v>
      </c>
      <c r="DO16" t="s">
        <v>129</v>
      </c>
      <c r="DP16">
        <f>DP20+(0.693/DP22)</f>
        <v>4.9499999999999995E-2</v>
      </c>
      <c r="DQ16" t="s">
        <v>130</v>
      </c>
      <c r="DS16">
        <v>1000</v>
      </c>
      <c r="DT16" t="s">
        <v>179</v>
      </c>
      <c r="ED16" t="s">
        <v>129</v>
      </c>
      <c r="EE16">
        <f>EE20+(0.693/EE22)</f>
        <v>4.9499999999999995E-2</v>
      </c>
      <c r="EF16" t="s">
        <v>130</v>
      </c>
      <c r="EH16">
        <v>1000</v>
      </c>
      <c r="EI16" t="s">
        <v>179</v>
      </c>
      <c r="ES16" t="s">
        <v>129</v>
      </c>
      <c r="ET16">
        <f>ET20+(0.693/ET22)</f>
        <v>4.9499999999999995E-2</v>
      </c>
      <c r="EU16" t="s">
        <v>130</v>
      </c>
      <c r="EW16" s="15">
        <v>1000</v>
      </c>
      <c r="EX16" t="s">
        <v>179</v>
      </c>
      <c r="FH16" t="s">
        <v>129</v>
      </c>
      <c r="FI16">
        <v>4.9499999999999995E-2</v>
      </c>
      <c r="FJ16" t="s">
        <v>130</v>
      </c>
      <c r="FL16">
        <v>1000</v>
      </c>
      <c r="FM16" t="s">
        <v>179</v>
      </c>
      <c r="FW16" t="s">
        <v>129</v>
      </c>
      <c r="FX16">
        <f>FX20+(0.693/FX22)</f>
        <v>4.9499999999999995E-2</v>
      </c>
      <c r="FY16" t="s">
        <v>130</v>
      </c>
      <c r="GA16">
        <v>1000</v>
      </c>
      <c r="GB16" t="s">
        <v>179</v>
      </c>
      <c r="GL16" t="s">
        <v>129</v>
      </c>
      <c r="GM16">
        <f>GM20+(0.693/GM22)</f>
        <v>4.9499999999999995E-2</v>
      </c>
      <c r="GN16" t="s">
        <v>130</v>
      </c>
      <c r="GO16" t="s">
        <v>270</v>
      </c>
      <c r="GP16">
        <v>1</v>
      </c>
      <c r="HA16" t="s">
        <v>129</v>
      </c>
      <c r="HB16">
        <f>HB20+(0.693/HB22)</f>
        <v>4.9499999999999995E-2</v>
      </c>
      <c r="HC16" t="s">
        <v>130</v>
      </c>
    </row>
    <row r="17" spans="1:214" ht="14.25" thickTop="1" thickBot="1" x14ac:dyDescent="0.25">
      <c r="A17" t="s">
        <v>436</v>
      </c>
      <c r="B17" s="410">
        <v>1.7E-5</v>
      </c>
      <c r="C17" t="s">
        <v>448</v>
      </c>
      <c r="D17" t="s">
        <v>126</v>
      </c>
      <c r="E17">
        <v>1</v>
      </c>
      <c r="F17" t="s">
        <v>59</v>
      </c>
      <c r="G17" t="s">
        <v>97</v>
      </c>
      <c r="H17">
        <f>B50</f>
        <v>0.78</v>
      </c>
      <c r="J17" t="s">
        <v>454</v>
      </c>
      <c r="K17" s="1">
        <f>K18/(K49+K50)</f>
        <v>1.1544596936704695E-2</v>
      </c>
      <c r="L17" t="s">
        <v>22</v>
      </c>
      <c r="V17" t="s">
        <v>477</v>
      </c>
      <c r="W17" s="1">
        <f>(W5)/((W11/W12)*W8*W9*W14*(1/365))</f>
        <v>2036262203.6262202</v>
      </c>
      <c r="X17" t="s">
        <v>36</v>
      </c>
      <c r="Y17" t="s">
        <v>477</v>
      </c>
      <c r="Z17" s="1">
        <f>(Z5)/((Z11/Z12)*Z8*Z9*Z14*(1/365))</f>
        <v>1832635983.2635987</v>
      </c>
      <c r="AA17" t="s">
        <v>36</v>
      </c>
      <c r="BS17" t="s">
        <v>122</v>
      </c>
      <c r="BT17">
        <v>1</v>
      </c>
      <c r="BU17" t="s">
        <v>59</v>
      </c>
      <c r="BV17" t="s">
        <v>131</v>
      </c>
      <c r="BW17">
        <v>0.5</v>
      </c>
      <c r="BX17" t="s">
        <v>132</v>
      </c>
      <c r="BY17" t="s">
        <v>77</v>
      </c>
      <c r="BZ17" s="427">
        <f>(BZ27*BZ24*BZ20*(BZ29/24)*BZ37)+(BZ26*BZ23*BZ21*(BZ30/24)*BZ38)</f>
        <v>93.75</v>
      </c>
      <c r="CA17" t="s">
        <v>407</v>
      </c>
      <c r="CB17" s="404" t="s">
        <v>32</v>
      </c>
      <c r="CC17" s="78" t="s">
        <v>13</v>
      </c>
      <c r="CD17" s="79" t="s">
        <v>22</v>
      </c>
      <c r="CE17" s="231" t="s">
        <v>32</v>
      </c>
      <c r="CF17" s="78" t="s">
        <v>13</v>
      </c>
      <c r="CG17" s="79" t="s">
        <v>22</v>
      </c>
      <c r="CK17" s="397" t="s">
        <v>303</v>
      </c>
      <c r="CL17" s="78"/>
      <c r="CM17" s="398" t="s">
        <v>22</v>
      </c>
      <c r="CN17" s="78" t="s">
        <v>11</v>
      </c>
      <c r="CO17" s="78"/>
      <c r="CP17" s="79" t="s">
        <v>22</v>
      </c>
      <c r="CQ17" s="231" t="s">
        <v>10</v>
      </c>
      <c r="CR17" s="78"/>
      <c r="CS17" s="79" t="s">
        <v>22</v>
      </c>
      <c r="CT17" t="s">
        <v>454</v>
      </c>
      <c r="CU17" s="1">
        <f>DJ3</f>
        <v>2.7031051274785563E-3</v>
      </c>
      <c r="CV17" t="s">
        <v>22</v>
      </c>
      <c r="CW17" t="s">
        <v>126</v>
      </c>
      <c r="CX17">
        <v>1</v>
      </c>
      <c r="CY17" t="s">
        <v>59</v>
      </c>
      <c r="CZ17" t="s">
        <v>478</v>
      </c>
      <c r="DA17" s="1">
        <f>DD3</f>
        <v>7.8390048696878141E-4</v>
      </c>
      <c r="DB17" t="s">
        <v>22</v>
      </c>
      <c r="DC17" t="s">
        <v>228</v>
      </c>
      <c r="DD17">
        <v>1</v>
      </c>
      <c r="DE17" t="s">
        <v>119</v>
      </c>
      <c r="DF17" t="s">
        <v>133</v>
      </c>
      <c r="DG17">
        <v>60</v>
      </c>
      <c r="DH17" t="s">
        <v>102</v>
      </c>
      <c r="DO17" t="s">
        <v>133</v>
      </c>
      <c r="DP17">
        <v>60</v>
      </c>
      <c r="DQ17" t="s">
        <v>102</v>
      </c>
      <c r="DR17" t="s">
        <v>256</v>
      </c>
      <c r="DS17">
        <v>1</v>
      </c>
      <c r="ED17" t="s">
        <v>133</v>
      </c>
      <c r="EE17">
        <v>60</v>
      </c>
      <c r="EF17" t="s">
        <v>102</v>
      </c>
      <c r="EG17" t="s">
        <v>259</v>
      </c>
      <c r="EH17">
        <v>1</v>
      </c>
      <c r="ES17" t="s">
        <v>133</v>
      </c>
      <c r="ET17">
        <v>60</v>
      </c>
      <c r="EU17" t="s">
        <v>102</v>
      </c>
      <c r="EV17" t="s">
        <v>264</v>
      </c>
      <c r="EW17">
        <v>1</v>
      </c>
      <c r="FH17" t="s">
        <v>133</v>
      </c>
      <c r="FI17">
        <v>60</v>
      </c>
      <c r="FJ17" t="s">
        <v>102</v>
      </c>
      <c r="FK17" t="s">
        <v>265</v>
      </c>
      <c r="FL17">
        <v>1</v>
      </c>
      <c r="FW17" t="s">
        <v>133</v>
      </c>
      <c r="FX17">
        <v>60</v>
      </c>
      <c r="FY17" t="s">
        <v>102</v>
      </c>
      <c r="FZ17" t="s">
        <v>139</v>
      </c>
      <c r="GA17">
        <v>1</v>
      </c>
      <c r="GL17" t="s">
        <v>133</v>
      </c>
      <c r="GM17">
        <v>60</v>
      </c>
      <c r="GN17" t="s">
        <v>102</v>
      </c>
      <c r="GP17">
        <v>365</v>
      </c>
      <c r="GQ17" t="s">
        <v>52</v>
      </c>
      <c r="HA17" t="s">
        <v>133</v>
      </c>
      <c r="HB17">
        <v>60</v>
      </c>
      <c r="HC17" t="s">
        <v>102</v>
      </c>
    </row>
    <row r="18" spans="1:214" ht="13.5" thickTop="1" x14ac:dyDescent="0.2">
      <c r="A18" t="s">
        <v>437</v>
      </c>
      <c r="B18" s="410">
        <v>4.8099999999999997E-2</v>
      </c>
      <c r="C18" t="s">
        <v>448</v>
      </c>
      <c r="D18" t="s">
        <v>445</v>
      </c>
      <c r="E18" s="1">
        <f>B26</f>
        <v>2.3899999999999998E-9</v>
      </c>
      <c r="F18" t="s">
        <v>107</v>
      </c>
      <c r="G18" t="s">
        <v>123</v>
      </c>
      <c r="H18">
        <f>B51</f>
        <v>2.5</v>
      </c>
      <c r="J18" t="s">
        <v>455</v>
      </c>
      <c r="K18" s="1">
        <f>K5/(K9*(K25+K28)*K38)</f>
        <v>3.3479331116443621E-3</v>
      </c>
      <c r="L18" t="s">
        <v>22</v>
      </c>
      <c r="M18" s="117" t="s">
        <v>13</v>
      </c>
      <c r="N18" s="118" t="s">
        <v>142</v>
      </c>
      <c r="O18" s="118" t="s">
        <v>0</v>
      </c>
      <c r="P18" s="252" t="s">
        <v>13</v>
      </c>
      <c r="Q18" s="118" t="s">
        <v>183</v>
      </c>
      <c r="R18" s="119" t="s">
        <v>0</v>
      </c>
      <c r="V18" t="s">
        <v>452</v>
      </c>
      <c r="W18" s="1">
        <f>(W5*W6*W9)/((W11/W12)*(1-EXP(-W6*W9))*W10*W13*W8*W9)</f>
        <v>13.22345708633379</v>
      </c>
      <c r="X18" t="s">
        <v>37</v>
      </c>
      <c r="Y18" t="s">
        <v>452</v>
      </c>
      <c r="Z18" s="1">
        <f>(Z5*Z6*Z9)/((Z11/Z12)*(1-EXP(-Z6*Z9))*Z10*Z13*Z8*Z9)</f>
        <v>11.901111377700412</v>
      </c>
      <c r="AA18" t="s">
        <v>37</v>
      </c>
      <c r="AI18" s="133" t="s">
        <v>13</v>
      </c>
      <c r="AJ18" s="134" t="s">
        <v>142</v>
      </c>
      <c r="AK18" s="134" t="s">
        <v>0</v>
      </c>
      <c r="AL18" s="233" t="s">
        <v>13</v>
      </c>
      <c r="AM18" s="134" t="s">
        <v>183</v>
      </c>
      <c r="AN18" s="135" t="s">
        <v>0</v>
      </c>
      <c r="AR18" s="141" t="s">
        <v>13</v>
      </c>
      <c r="AS18" s="142" t="s">
        <v>142</v>
      </c>
      <c r="AT18" s="142" t="s">
        <v>0</v>
      </c>
      <c r="AU18" s="236" t="s">
        <v>13</v>
      </c>
      <c r="AV18" s="142" t="s">
        <v>183</v>
      </c>
      <c r="AW18" s="143" t="s">
        <v>0</v>
      </c>
      <c r="BA18" s="141" t="s">
        <v>13</v>
      </c>
      <c r="BB18" s="142" t="s">
        <v>142</v>
      </c>
      <c r="BC18" s="142" t="s">
        <v>0</v>
      </c>
      <c r="BD18" s="236" t="s">
        <v>13</v>
      </c>
      <c r="BE18" s="142" t="s">
        <v>183</v>
      </c>
      <c r="BF18" s="143" t="s">
        <v>0</v>
      </c>
      <c r="BJ18" s="141" t="s">
        <v>13</v>
      </c>
      <c r="BK18" s="142" t="s">
        <v>142</v>
      </c>
      <c r="BL18" s="142" t="s">
        <v>0</v>
      </c>
      <c r="BM18" s="236" t="s">
        <v>13</v>
      </c>
      <c r="BN18" s="142" t="s">
        <v>183</v>
      </c>
      <c r="BO18" s="143" t="s">
        <v>0</v>
      </c>
      <c r="BS18" t="s">
        <v>126</v>
      </c>
      <c r="BT18">
        <v>1</v>
      </c>
      <c r="BU18" t="s">
        <v>59</v>
      </c>
      <c r="BV18" t="s">
        <v>403</v>
      </c>
      <c r="BW18">
        <v>45</v>
      </c>
      <c r="BX18" t="s">
        <v>52</v>
      </c>
      <c r="BY18" t="s">
        <v>108</v>
      </c>
      <c r="BZ18">
        <f>B48</f>
        <v>200</v>
      </c>
      <c r="CA18" t="s">
        <v>90</v>
      </c>
      <c r="CB18" s="404" t="s">
        <v>475</v>
      </c>
      <c r="CC18" s="80">
        <f>(CC20*CC21*CC22)/((1-EXP(-CC22*CC21))*CC25*CC29*(CC24/365)*CC27*(CC28/24)*CC26)</f>
        <v>19534.755082573345</v>
      </c>
      <c r="CD18" s="79"/>
      <c r="CE18" s="231" t="s">
        <v>475</v>
      </c>
      <c r="CF18" s="80">
        <f>(CF20*CF21*CF22)/((1-EXP(-CF22*CF21))*CF25*CF29*(CF24/365)*CF27*(CF28/24)*CF26)</f>
        <v>2346.9714062522626</v>
      </c>
      <c r="CG18" s="79"/>
      <c r="CK18" s="397" t="s">
        <v>456</v>
      </c>
      <c r="CL18" s="80">
        <f>CL20/(CL21*CL22*CL23*CL24)</f>
        <v>0.27720027720027718</v>
      </c>
      <c r="CM18" s="398"/>
      <c r="CN18" s="78" t="s">
        <v>456</v>
      </c>
      <c r="CO18" s="80">
        <f>CL18/(CO20*((CO25*CO27*CO28*(CO21+CO22))+(CO26*CO27)))</f>
        <v>0.92031964541924705</v>
      </c>
      <c r="CP18" s="79"/>
      <c r="CQ18" s="231" t="s">
        <v>456</v>
      </c>
      <c r="CR18" s="80">
        <f>CL18/(CR20*CR21*(1/CR22))</f>
        <v>1155.001155001155</v>
      </c>
      <c r="CS18" s="79"/>
      <c r="CT18" t="s">
        <v>455</v>
      </c>
      <c r="CU18" s="1">
        <f>DD3</f>
        <v>7.8390048696878141E-4</v>
      </c>
      <c r="CV18" t="s">
        <v>22</v>
      </c>
      <c r="CW18" t="s">
        <v>445</v>
      </c>
      <c r="CX18" s="1">
        <f>B26</f>
        <v>2.3899999999999998E-9</v>
      </c>
      <c r="CY18" t="s">
        <v>107</v>
      </c>
      <c r="CZ18" t="s">
        <v>479</v>
      </c>
      <c r="DA18" s="1">
        <f>EZ3</f>
        <v>10.415556149606878</v>
      </c>
      <c r="DC18" t="s">
        <v>229</v>
      </c>
      <c r="DD18">
        <v>1</v>
      </c>
      <c r="DE18" t="s">
        <v>119</v>
      </c>
      <c r="DF18" t="s">
        <v>135</v>
      </c>
      <c r="DG18">
        <v>2</v>
      </c>
      <c r="DH18" t="s">
        <v>111</v>
      </c>
      <c r="DO18" t="s">
        <v>135</v>
      </c>
      <c r="DP18">
        <v>2</v>
      </c>
      <c r="DQ18" t="s">
        <v>111</v>
      </c>
      <c r="DS18">
        <v>365</v>
      </c>
      <c r="DT18" t="s">
        <v>52</v>
      </c>
      <c r="ED18" t="s">
        <v>135</v>
      </c>
      <c r="EE18">
        <v>2</v>
      </c>
      <c r="EF18" t="s">
        <v>111</v>
      </c>
      <c r="EH18">
        <v>365</v>
      </c>
      <c r="EI18" t="s">
        <v>245</v>
      </c>
      <c r="ES18" t="s">
        <v>135</v>
      </c>
      <c r="ET18">
        <v>2</v>
      </c>
      <c r="EU18" t="s">
        <v>111</v>
      </c>
      <c r="EW18">
        <v>365</v>
      </c>
      <c r="EX18" t="s">
        <v>52</v>
      </c>
      <c r="FH18" t="s">
        <v>135</v>
      </c>
      <c r="FI18">
        <v>2</v>
      </c>
      <c r="FJ18" t="s">
        <v>111</v>
      </c>
      <c r="FL18">
        <v>365</v>
      </c>
      <c r="FM18" t="s">
        <v>52</v>
      </c>
      <c r="FW18" t="s">
        <v>135</v>
      </c>
      <c r="FX18">
        <v>2</v>
      </c>
      <c r="FY18" t="s">
        <v>111</v>
      </c>
      <c r="GA18">
        <v>365</v>
      </c>
      <c r="GB18" t="s">
        <v>52</v>
      </c>
      <c r="GL18" t="s">
        <v>135</v>
      </c>
      <c r="GM18">
        <v>2</v>
      </c>
      <c r="GN18" t="s">
        <v>111</v>
      </c>
      <c r="GO18" t="s">
        <v>433</v>
      </c>
      <c r="GP18" s="1">
        <f>B61</f>
        <v>0.15</v>
      </c>
      <c r="HA18" t="s">
        <v>135</v>
      </c>
      <c r="HB18">
        <v>2</v>
      </c>
      <c r="HC18" t="s">
        <v>111</v>
      </c>
    </row>
    <row r="19" spans="1:214" ht="13.5" thickBot="1" x14ac:dyDescent="0.25">
      <c r="A19" t="s">
        <v>438</v>
      </c>
      <c r="B19" s="410">
        <v>4.8099999999999997E-2</v>
      </c>
      <c r="C19" t="s">
        <v>448</v>
      </c>
      <c r="D19" t="s">
        <v>464</v>
      </c>
      <c r="E19" s="1">
        <f>B2</f>
        <v>8.5099999999999995E-2</v>
      </c>
      <c r="G19" t="s">
        <v>223</v>
      </c>
      <c r="H19">
        <f>B45</f>
        <v>10</v>
      </c>
      <c r="J19" t="s">
        <v>82</v>
      </c>
      <c r="K19" s="428">
        <f>K21*K31*K35*K53+K22*K32*K34*K54</f>
        <v>43076.923076923078</v>
      </c>
      <c r="L19" t="s">
        <v>406</v>
      </c>
      <c r="M19" s="120" t="s">
        <v>32</v>
      </c>
      <c r="N19" s="121" t="s">
        <v>33</v>
      </c>
      <c r="O19" s="131" t="s">
        <v>146</v>
      </c>
      <c r="P19" s="253" t="s">
        <v>32</v>
      </c>
      <c r="Q19" s="121" t="s">
        <v>33</v>
      </c>
      <c r="R19" s="122" t="s">
        <v>22</v>
      </c>
      <c r="V19" t="s">
        <v>477</v>
      </c>
      <c r="W19" s="1">
        <f>(W5*W6*W9)/((W11/W12)*(1-EXP(-W6*W9))*W14*W8*W9*(1/365))</f>
        <v>2059871578.762372</v>
      </c>
      <c r="X19" t="s">
        <v>37</v>
      </c>
      <c r="Y19" t="s">
        <v>477</v>
      </c>
      <c r="Z19" s="1">
        <f>(Z5*Z6*Z9)/((Z11/Z12)*(1-EXP(-Z6*Z9))*Z14*Z8*Z9*(1/365))</f>
        <v>1853884420.8861349</v>
      </c>
      <c r="AA19" t="s">
        <v>37</v>
      </c>
      <c r="AB19" t="s">
        <v>463</v>
      </c>
      <c r="AC19" s="1">
        <f>B2</f>
        <v>8.5099999999999995E-2</v>
      </c>
      <c r="AD19" s="1">
        <f>B2</f>
        <v>8.5099999999999995E-2</v>
      </c>
      <c r="AE19" s="1">
        <f>B2</f>
        <v>8.5099999999999995E-2</v>
      </c>
      <c r="AF19" s="1">
        <f>B2</f>
        <v>8.5099999999999995E-2</v>
      </c>
      <c r="AG19" s="1">
        <f>B2</f>
        <v>8.5099999999999995E-2</v>
      </c>
      <c r="AI19" s="136" t="s">
        <v>5</v>
      </c>
      <c r="AJ19" s="84" t="s">
        <v>34</v>
      </c>
      <c r="AK19" s="151" t="s">
        <v>146</v>
      </c>
      <c r="AL19" s="234" t="s">
        <v>5</v>
      </c>
      <c r="AM19" s="84" t="s">
        <v>34</v>
      </c>
      <c r="AN19" s="137" t="s">
        <v>22</v>
      </c>
      <c r="AR19" s="144" t="s">
        <v>2</v>
      </c>
      <c r="AS19" s="86" t="s">
        <v>34</v>
      </c>
      <c r="AT19" s="152" t="s">
        <v>146</v>
      </c>
      <c r="AU19" s="237" t="s">
        <v>2</v>
      </c>
      <c r="AV19" s="86" t="s">
        <v>34</v>
      </c>
      <c r="AW19" s="145" t="s">
        <v>22</v>
      </c>
      <c r="BA19" s="144" t="s">
        <v>4</v>
      </c>
      <c r="BB19" s="86" t="s">
        <v>34</v>
      </c>
      <c r="BC19" s="152" t="s">
        <v>146</v>
      </c>
      <c r="BD19" s="237" t="s">
        <v>4</v>
      </c>
      <c r="BE19" s="86" t="s">
        <v>34</v>
      </c>
      <c r="BF19" s="145" t="s">
        <v>22</v>
      </c>
      <c r="BJ19" s="144" t="s">
        <v>222</v>
      </c>
      <c r="BK19" s="86" t="s">
        <v>34</v>
      </c>
      <c r="BL19" s="152" t="s">
        <v>146</v>
      </c>
      <c r="BM19" s="237" t="s">
        <v>222</v>
      </c>
      <c r="BN19" s="86" t="s">
        <v>34</v>
      </c>
      <c r="BO19" s="145" t="s">
        <v>22</v>
      </c>
      <c r="BS19" t="s">
        <v>445</v>
      </c>
      <c r="BT19" s="1">
        <f>B26</f>
        <v>2.3899999999999998E-9</v>
      </c>
      <c r="BU19" t="s">
        <v>107</v>
      </c>
      <c r="BV19" t="s">
        <v>404</v>
      </c>
      <c r="BW19">
        <v>45</v>
      </c>
      <c r="BX19" t="s">
        <v>52</v>
      </c>
      <c r="BY19" t="s">
        <v>127</v>
      </c>
      <c r="BZ19">
        <f>B49</f>
        <v>100</v>
      </c>
      <c r="CA19" t="s">
        <v>90</v>
      </c>
      <c r="CB19" s="405"/>
      <c r="CC19" s="81"/>
      <c r="CD19" s="82"/>
      <c r="CE19" s="232"/>
      <c r="CF19" s="81"/>
      <c r="CG19" s="82"/>
      <c r="CK19" s="399"/>
      <c r="CL19" s="400"/>
      <c r="CM19" s="401"/>
      <c r="CN19" s="393"/>
      <c r="CO19" s="81"/>
      <c r="CP19" s="82"/>
      <c r="CQ19" s="232"/>
      <c r="CR19" s="81"/>
      <c r="CS19" s="82"/>
      <c r="CT19" t="s">
        <v>479</v>
      </c>
      <c r="CU19" s="1">
        <f>FC3</f>
        <v>5.7071540545791118E-2</v>
      </c>
      <c r="CV19" t="s">
        <v>22</v>
      </c>
      <c r="CW19" t="s">
        <v>464</v>
      </c>
      <c r="CX19" s="1">
        <f>B2</f>
        <v>8.5099999999999995E-2</v>
      </c>
      <c r="CZ19" t="s">
        <v>480</v>
      </c>
      <c r="DA19" s="1">
        <f>GS3</f>
        <v>0.32718208214753053</v>
      </c>
      <c r="DD19" s="1">
        <v>9.9999999999999995E-7</v>
      </c>
      <c r="DF19" t="s">
        <v>137</v>
      </c>
      <c r="DG19">
        <v>2.6999999999999999E-5</v>
      </c>
      <c r="DH19" t="s">
        <v>130</v>
      </c>
      <c r="DO19" t="s">
        <v>137</v>
      </c>
      <c r="DP19">
        <v>2.6999999999999999E-5</v>
      </c>
      <c r="DQ19" t="s">
        <v>130</v>
      </c>
      <c r="DR19" t="s">
        <v>433</v>
      </c>
      <c r="DS19" s="1">
        <f>B61</f>
        <v>0.15</v>
      </c>
      <c r="ED19" t="s">
        <v>137</v>
      </c>
      <c r="EE19">
        <v>2.6999999999999999E-5</v>
      </c>
      <c r="EF19" t="s">
        <v>130</v>
      </c>
      <c r="EG19" t="s">
        <v>433</v>
      </c>
      <c r="EH19" s="1">
        <f>B61</f>
        <v>0.15</v>
      </c>
      <c r="ES19" t="s">
        <v>137</v>
      </c>
      <c r="ET19">
        <v>2.6999999999999999E-5</v>
      </c>
      <c r="EU19" t="s">
        <v>130</v>
      </c>
      <c r="EV19" t="s">
        <v>433</v>
      </c>
      <c r="EW19" s="1">
        <f>B61</f>
        <v>0.15</v>
      </c>
      <c r="FH19" t="s">
        <v>137</v>
      </c>
      <c r="FI19">
        <v>2.6999999999999999E-5</v>
      </c>
      <c r="FJ19" t="s">
        <v>130</v>
      </c>
      <c r="FK19" t="s">
        <v>433</v>
      </c>
      <c r="FL19" s="1">
        <f>B61</f>
        <v>0.15</v>
      </c>
      <c r="FW19" t="s">
        <v>137</v>
      </c>
      <c r="FX19">
        <v>2.6999999999999999E-5</v>
      </c>
      <c r="FY19" t="s">
        <v>130</v>
      </c>
      <c r="FZ19" t="s">
        <v>433</v>
      </c>
      <c r="GA19" s="1">
        <f>B61</f>
        <v>0.15</v>
      </c>
      <c r="GL19" t="s">
        <v>137</v>
      </c>
      <c r="GM19">
        <v>2.6999999999999999E-5</v>
      </c>
      <c r="GN19" t="s">
        <v>130</v>
      </c>
      <c r="GO19" t="s">
        <v>432</v>
      </c>
      <c r="GP19" s="1">
        <f>B62</f>
        <v>0.85</v>
      </c>
      <c r="HA19" t="s">
        <v>137</v>
      </c>
      <c r="HB19">
        <v>2.6999999999999999E-5</v>
      </c>
      <c r="HC19" t="s">
        <v>130</v>
      </c>
    </row>
    <row r="20" spans="1:214" ht="14.25" thickTop="1" thickBot="1" x14ac:dyDescent="0.25">
      <c r="A20" t="s">
        <v>490</v>
      </c>
      <c r="B20" s="410">
        <v>4.8099999999999997E-2</v>
      </c>
      <c r="C20" t="s">
        <v>448</v>
      </c>
      <c r="D20" t="s">
        <v>452</v>
      </c>
      <c r="E20" s="1">
        <f>(E5)/((E14/E15)*E10*E11)</f>
        <v>9.499451954694921</v>
      </c>
      <c r="F20" t="s">
        <v>36</v>
      </c>
      <c r="G20" t="s">
        <v>224</v>
      </c>
      <c r="H20">
        <f>B46</f>
        <v>20</v>
      </c>
      <c r="J20" t="s">
        <v>77</v>
      </c>
      <c r="K20" s="428">
        <f>K35*K31*K23*K53+K34*K32*K24*K54</f>
        <v>6192.3076923076924</v>
      </c>
      <c r="L20" t="s">
        <v>134</v>
      </c>
      <c r="M20" s="120" t="s">
        <v>475</v>
      </c>
      <c r="N20" s="123">
        <f>(N22*N23*N24)/((1-EXP(-N24*N23))*N27*N32*(N26/365)*N30*((N31*N29)+(N33*N28)))</f>
        <v>16.862230065047072</v>
      </c>
      <c r="O20" s="131"/>
      <c r="P20" s="253" t="s">
        <v>475</v>
      </c>
      <c r="Q20" s="123">
        <f>(Q22*Q23*Q24)/((1-EXP(-Q24*Q23))*Q27*Q32*(Q26/365)*Q30*((Q31*Q29)+(Q33*Q28)))</f>
        <v>3.7920278867888131</v>
      </c>
      <c r="R20" s="122"/>
      <c r="AB20" t="s">
        <v>412</v>
      </c>
      <c r="AC20">
        <f>B47</f>
        <v>60</v>
      </c>
      <c r="AD20">
        <f>B47</f>
        <v>60</v>
      </c>
      <c r="AE20">
        <f>B47</f>
        <v>60</v>
      </c>
      <c r="AF20">
        <f>B47</f>
        <v>60</v>
      </c>
      <c r="AG20">
        <f>B47</f>
        <v>60</v>
      </c>
      <c r="AH20" t="s">
        <v>78</v>
      </c>
      <c r="AI20" s="136" t="s">
        <v>475</v>
      </c>
      <c r="AJ20" s="85">
        <f>(AJ22*AJ23*AJ24)/((1-EXP(-AJ24*AJ23))*AJ27*AJ32*(AJ26/365)*AJ30*((AJ31*AJ29)+(AJ33*AJ28)))</f>
        <v>48.209698174639357</v>
      </c>
      <c r="AK20" s="151"/>
      <c r="AL20" s="234" t="s">
        <v>475</v>
      </c>
      <c r="AM20" s="85">
        <f>(AM22*AM23*AM24)/((1-EXP(-AM24*AM23))*AM27*AM32*(AM26/365)*AM30*((AM31*AM29)+(AM33*AM28)))</f>
        <v>10.909135338696379</v>
      </c>
      <c r="AN20" s="137"/>
      <c r="AR20" s="144" t="s">
        <v>475</v>
      </c>
      <c r="AS20" s="87">
        <f>(AS22*AS23*AS24)/((1-EXP(-AS24*AS23))*AS27*AS32*(AS26/365)*AS30*((AS31*AS29)+(AS33*AS28)))</f>
        <v>805.50874143089982</v>
      </c>
      <c r="AT20" s="152"/>
      <c r="AU20" s="237" t="s">
        <v>475</v>
      </c>
      <c r="AV20" s="87">
        <f>(AV22*AV23*AV24)/((1-EXP(-AV24*AV23))*AV27*AV32*(AV26/365)*AV30*((AV31*AV29)+(AV33*AV28)))</f>
        <v>96.776538821879583</v>
      </c>
      <c r="AW20" s="145"/>
      <c r="BA20" s="144" t="s">
        <v>475</v>
      </c>
      <c r="BB20" s="87">
        <f>(BB22*BB23*BB24)/((1-EXP(-BB24*BB23))*BB27*BB32*(BB26/365)*BB30*((BB31*BB29)+(BB33*BB28)))</f>
        <v>724.9578672878099</v>
      </c>
      <c r="BC20" s="152"/>
      <c r="BD20" s="237" t="s">
        <v>475</v>
      </c>
      <c r="BE20" s="87">
        <f>(BE22*BE23*BE24)/((1-EXP(-BE24*BE23))*BE27*BE32*(BE26/365)*BE30*((BE31*BE29)+(BE33*BE28)))</f>
        <v>87.098884939691629</v>
      </c>
      <c r="BF20" s="145"/>
      <c r="BJ20" s="144" t="s">
        <v>475</v>
      </c>
      <c r="BK20" s="87">
        <f>(BK22*BK23*BK24)/((1-EXP(-BK24*BK23))*BK29*BK34*(BK26/365)*BK32*BK33*BK31)</f>
        <v>557.10235377711615</v>
      </c>
      <c r="BL20" s="152"/>
      <c r="BM20" s="237" t="s">
        <v>475</v>
      </c>
      <c r="BN20" s="87">
        <f>(BN22*BN23*BN24)/((1-EXP(-BN24*BN23))*BN29*BN34*(BN26/365)*BN32*BN33*BN31)</f>
        <v>66.932157026996819</v>
      </c>
      <c r="BO20" s="145"/>
      <c r="BS20" t="s">
        <v>464</v>
      </c>
      <c r="BT20" s="1">
        <f>B2</f>
        <v>8.5099999999999995E-2</v>
      </c>
      <c r="BV20" t="s">
        <v>100</v>
      </c>
      <c r="BW20">
        <v>1</v>
      </c>
      <c r="BX20" t="s">
        <v>119</v>
      </c>
      <c r="BY20" t="s">
        <v>223</v>
      </c>
      <c r="BZ20">
        <f>B45</f>
        <v>10</v>
      </c>
      <c r="CA20" t="s">
        <v>78</v>
      </c>
      <c r="CB20" t="s">
        <v>458</v>
      </c>
      <c r="CC20" s="1">
        <v>1</v>
      </c>
      <c r="CD20" t="s">
        <v>459</v>
      </c>
      <c r="CE20" t="s">
        <v>458</v>
      </c>
      <c r="CF20" s="1">
        <v>1</v>
      </c>
      <c r="CG20" t="s">
        <v>459</v>
      </c>
      <c r="CK20" t="s">
        <v>485</v>
      </c>
      <c r="CL20" s="1">
        <v>1</v>
      </c>
      <c r="CM20" s="2"/>
      <c r="CN20" t="s">
        <v>396</v>
      </c>
      <c r="CO20" s="1">
        <f>B39</f>
        <v>0.24</v>
      </c>
      <c r="CQ20" t="s">
        <v>396</v>
      </c>
      <c r="CR20">
        <f>CO20</f>
        <v>0.24</v>
      </c>
      <c r="CT20" t="s">
        <v>480</v>
      </c>
      <c r="CU20" s="1">
        <f>GV3</f>
        <v>2.3779889936129082E-3</v>
      </c>
      <c r="CV20" t="s">
        <v>22</v>
      </c>
      <c r="CW20" t="s">
        <v>452</v>
      </c>
      <c r="CX20" s="1">
        <f>(CX5)/((CX14/CX15)*CX10*CX11)</f>
        <v>9.0847149670679084</v>
      </c>
      <c r="CY20" t="s">
        <v>36</v>
      </c>
      <c r="CZ20" t="s">
        <v>481</v>
      </c>
      <c r="DA20" s="1">
        <f>EK3</f>
        <v>3.1437147417790124E-4</v>
      </c>
      <c r="DD20" s="1">
        <v>1000</v>
      </c>
      <c r="DE20" t="s">
        <v>179</v>
      </c>
      <c r="DF20" t="s">
        <v>138</v>
      </c>
      <c r="DG20" s="1">
        <f>0.693/DG23</f>
        <v>6.3E-5</v>
      </c>
      <c r="DH20" t="s">
        <v>130</v>
      </c>
      <c r="DO20" t="s">
        <v>138</v>
      </c>
      <c r="DP20">
        <v>0</v>
      </c>
      <c r="DQ20" t="s">
        <v>130</v>
      </c>
      <c r="DR20" t="s">
        <v>432</v>
      </c>
      <c r="DS20" s="1">
        <f>B62</f>
        <v>0.85</v>
      </c>
      <c r="ED20" t="s">
        <v>138</v>
      </c>
      <c r="EE20">
        <v>0</v>
      </c>
      <c r="EF20" t="s">
        <v>130</v>
      </c>
      <c r="EG20" t="s">
        <v>432</v>
      </c>
      <c r="EH20" s="1">
        <f>B62</f>
        <v>0.85</v>
      </c>
      <c r="ES20" t="s">
        <v>138</v>
      </c>
      <c r="ET20">
        <v>0</v>
      </c>
      <c r="EU20" t="s">
        <v>130</v>
      </c>
      <c r="EV20" t="s">
        <v>432</v>
      </c>
      <c r="EW20" s="1">
        <f>B62</f>
        <v>0.85</v>
      </c>
      <c r="FH20" t="s">
        <v>138</v>
      </c>
      <c r="FI20">
        <v>0</v>
      </c>
      <c r="FJ20" t="s">
        <v>130</v>
      </c>
      <c r="FK20" t="s">
        <v>432</v>
      </c>
      <c r="FL20" s="1">
        <f>B62</f>
        <v>0.85</v>
      </c>
      <c r="FW20" t="s">
        <v>138</v>
      </c>
      <c r="FX20">
        <v>0</v>
      </c>
      <c r="FY20" t="s">
        <v>130</v>
      </c>
      <c r="FZ20" t="s">
        <v>432</v>
      </c>
      <c r="GA20" s="1">
        <f>B62</f>
        <v>0.85</v>
      </c>
      <c r="GL20" t="s">
        <v>138</v>
      </c>
      <c r="GM20">
        <v>0</v>
      </c>
      <c r="GN20" t="s">
        <v>130</v>
      </c>
      <c r="HA20" t="s">
        <v>138</v>
      </c>
      <c r="HB20">
        <v>0</v>
      </c>
      <c r="HC20" t="s">
        <v>130</v>
      </c>
    </row>
    <row r="21" spans="1:214" ht="14.25" thickTop="1" thickBot="1" x14ac:dyDescent="0.25">
      <c r="A21" t="s">
        <v>460</v>
      </c>
      <c r="B21" s="410">
        <v>3.19</v>
      </c>
      <c r="C21" t="s">
        <v>449</v>
      </c>
      <c r="D21" t="s">
        <v>477</v>
      </c>
      <c r="E21" s="1">
        <f>(E5)/((E14/E15)*E8*E9*E18*(1/365)*E19)</f>
        <v>5127401889.2720013</v>
      </c>
      <c r="F21" t="s">
        <v>36</v>
      </c>
      <c r="G21" t="s">
        <v>240</v>
      </c>
      <c r="H21" s="426">
        <f>(H29*H32*H38*H34*H70)+(H30*H33*H39*H35*H71)</f>
        <v>234.76923076923077</v>
      </c>
      <c r="I21" t="s">
        <v>408</v>
      </c>
      <c r="J21" t="s">
        <v>108</v>
      </c>
      <c r="K21">
        <f>B48</f>
        <v>200</v>
      </c>
      <c r="L21" t="s">
        <v>90</v>
      </c>
      <c r="M21" s="124"/>
      <c r="N21" s="125"/>
      <c r="O21" s="169"/>
      <c r="P21" s="254"/>
      <c r="Q21" s="125"/>
      <c r="R21" s="126"/>
      <c r="AB21" t="s">
        <v>462</v>
      </c>
      <c r="AC21">
        <v>0.4</v>
      </c>
      <c r="AD21">
        <v>0.4</v>
      </c>
      <c r="AE21">
        <v>0.4</v>
      </c>
      <c r="AF21">
        <v>0.4</v>
      </c>
      <c r="AG21">
        <v>0.4</v>
      </c>
      <c r="AI21" s="138" t="s">
        <v>32</v>
      </c>
      <c r="AJ21" s="139"/>
      <c r="AK21" s="153"/>
      <c r="AL21" s="235" t="s">
        <v>32</v>
      </c>
      <c r="AM21" s="139"/>
      <c r="AN21" s="140"/>
      <c r="AR21" s="146" t="s">
        <v>32</v>
      </c>
      <c r="AS21" s="147"/>
      <c r="AT21" s="154"/>
      <c r="AU21" s="238" t="s">
        <v>32</v>
      </c>
      <c r="AV21" s="147"/>
      <c r="AW21" s="148"/>
      <c r="BA21" s="146" t="s">
        <v>32</v>
      </c>
      <c r="BB21" s="147"/>
      <c r="BC21" s="154"/>
      <c r="BD21" s="238" t="s">
        <v>32</v>
      </c>
      <c r="BE21" s="147"/>
      <c r="BF21" s="148"/>
      <c r="BJ21" s="146" t="s">
        <v>32</v>
      </c>
      <c r="BK21" s="147"/>
      <c r="BL21" s="154"/>
      <c r="BM21" s="238" t="s">
        <v>32</v>
      </c>
      <c r="BN21" s="147"/>
      <c r="BO21" s="148"/>
      <c r="BS21" t="s">
        <v>452</v>
      </c>
      <c r="BT21" s="1">
        <f>(BT5)/(BT10*BT11)</f>
        <v>627.45098039215691</v>
      </c>
      <c r="BU21" t="s">
        <v>36</v>
      </c>
      <c r="BV21" t="s">
        <v>402</v>
      </c>
      <c r="BW21">
        <v>1</v>
      </c>
      <c r="BY21" t="s">
        <v>224</v>
      </c>
      <c r="BZ21">
        <f>B46</f>
        <v>20</v>
      </c>
      <c r="CA21" t="s">
        <v>78</v>
      </c>
      <c r="CB21" t="s">
        <v>58</v>
      </c>
      <c r="CC21">
        <v>26</v>
      </c>
      <c r="CD21" t="s">
        <v>59</v>
      </c>
      <c r="CE21" t="s">
        <v>58</v>
      </c>
      <c r="CF21">
        <v>26</v>
      </c>
      <c r="CG21" t="s">
        <v>59</v>
      </c>
      <c r="CK21" t="s">
        <v>447</v>
      </c>
      <c r="CL21" s="1">
        <f>E35</f>
        <v>4.8099999999999997E-2</v>
      </c>
      <c r="CM21" t="s">
        <v>22</v>
      </c>
      <c r="CN21" t="s">
        <v>47</v>
      </c>
      <c r="CO21">
        <f>CO23</f>
        <v>5.0000000000000001E-3</v>
      </c>
      <c r="CQ21" t="s">
        <v>316</v>
      </c>
      <c r="CR21" s="17">
        <v>1</v>
      </c>
      <c r="CS21" t="s">
        <v>56</v>
      </c>
      <c r="CT21" t="s">
        <v>481</v>
      </c>
      <c r="CU21" s="1">
        <f>EN3</f>
        <v>1.376629263332474E-4</v>
      </c>
      <c r="CV21" t="s">
        <v>22</v>
      </c>
      <c r="CW21" t="s">
        <v>477</v>
      </c>
      <c r="CX21" s="1">
        <f>(CX5)/((CX14/CX15)*CX8*CX9*CX18*(1/365)*CX19)</f>
        <v>5127401889.2720013</v>
      </c>
      <c r="CY21" t="s">
        <v>36</v>
      </c>
      <c r="CZ21" t="s">
        <v>482</v>
      </c>
      <c r="DA21" s="1">
        <f>DV3</f>
        <v>1.4382358094223093E-4</v>
      </c>
      <c r="DC21" t="s">
        <v>139</v>
      </c>
      <c r="DD21">
        <v>1</v>
      </c>
      <c r="DF21" t="s">
        <v>140</v>
      </c>
      <c r="DG21">
        <v>1</v>
      </c>
      <c r="DH21" t="s">
        <v>75</v>
      </c>
      <c r="DO21" t="s">
        <v>140</v>
      </c>
      <c r="DP21">
        <v>1</v>
      </c>
      <c r="DQ21" t="s">
        <v>75</v>
      </c>
      <c r="ED21" t="s">
        <v>140</v>
      </c>
      <c r="EE21">
        <v>1</v>
      </c>
      <c r="EF21" t="s">
        <v>75</v>
      </c>
      <c r="ES21" t="s">
        <v>140</v>
      </c>
      <c r="ET21">
        <v>1</v>
      </c>
      <c r="EU21" t="s">
        <v>75</v>
      </c>
      <c r="FH21" t="s">
        <v>140</v>
      </c>
      <c r="FI21">
        <v>1</v>
      </c>
      <c r="FJ21" t="s">
        <v>75</v>
      </c>
      <c r="FW21" t="s">
        <v>140</v>
      </c>
      <c r="FX21">
        <v>1</v>
      </c>
      <c r="FY21" t="s">
        <v>75</v>
      </c>
      <c r="GL21" t="s">
        <v>140</v>
      </c>
      <c r="GM21">
        <v>1</v>
      </c>
      <c r="GN21" t="s">
        <v>75</v>
      </c>
      <c r="HA21" t="s">
        <v>140</v>
      </c>
      <c r="HB21">
        <v>1</v>
      </c>
      <c r="HC21" t="s">
        <v>75</v>
      </c>
      <c r="HD21" s="157" t="s">
        <v>456</v>
      </c>
      <c r="HE21" s="158" t="s">
        <v>15</v>
      </c>
      <c r="HF21" s="159" t="s">
        <v>143</v>
      </c>
    </row>
    <row r="22" spans="1:214" ht="13.5" thickTop="1" x14ac:dyDescent="0.2">
      <c r="A22" t="s">
        <v>441</v>
      </c>
      <c r="B22" s="410">
        <v>0.64300000000000002</v>
      </c>
      <c r="C22" t="s">
        <v>450</v>
      </c>
      <c r="D22" t="s">
        <v>452</v>
      </c>
      <c r="E22" s="1">
        <f>(E5*E9*E6)/((E14/E15)*(1-EXP(-E6*E9))*E10*E11)</f>
        <v>9.4997511905755481</v>
      </c>
      <c r="F22" t="s">
        <v>37</v>
      </c>
      <c r="G22" t="s">
        <v>373</v>
      </c>
      <c r="H22" s="427">
        <f>(H29*H32*H23*H70)+(H30*H33*H24*H71)</f>
        <v>16326.153846153848</v>
      </c>
      <c r="I22" t="s">
        <v>213</v>
      </c>
      <c r="J22" t="s">
        <v>127</v>
      </c>
      <c r="K22">
        <f>B49</f>
        <v>100</v>
      </c>
      <c r="L22" t="s">
        <v>90</v>
      </c>
      <c r="M22" t="s">
        <v>485</v>
      </c>
      <c r="N22" s="1">
        <v>1</v>
      </c>
      <c r="P22" t="s">
        <v>485</v>
      </c>
      <c r="Q22" s="1">
        <v>1</v>
      </c>
      <c r="V22" s="88" t="s">
        <v>1</v>
      </c>
      <c r="W22" s="89" t="s">
        <v>5</v>
      </c>
      <c r="X22" s="89" t="s">
        <v>0</v>
      </c>
      <c r="Y22" s="248" t="s">
        <v>1</v>
      </c>
      <c r="Z22" s="89" t="s">
        <v>222</v>
      </c>
      <c r="AA22" s="90" t="s">
        <v>0</v>
      </c>
      <c r="AB22" t="s">
        <v>105</v>
      </c>
      <c r="AC22" s="1">
        <f>B3</f>
        <v>0.74199999999999999</v>
      </c>
      <c r="AD22" s="1">
        <f>B3</f>
        <v>0.74199999999999999</v>
      </c>
      <c r="AE22" s="1">
        <f>B3</f>
        <v>0.74199999999999999</v>
      </c>
      <c r="AF22" s="1">
        <f>B3</f>
        <v>0.74199999999999999</v>
      </c>
      <c r="AG22" s="1">
        <f>B3</f>
        <v>0.74199999999999999</v>
      </c>
      <c r="AI22" t="s">
        <v>458</v>
      </c>
      <c r="AJ22" s="1">
        <v>1</v>
      </c>
      <c r="AK22" t="s">
        <v>459</v>
      </c>
      <c r="AL22" t="s">
        <v>458</v>
      </c>
      <c r="AM22" s="1">
        <v>1</v>
      </c>
      <c r="AN22" t="s">
        <v>459</v>
      </c>
      <c r="AR22" t="s">
        <v>458</v>
      </c>
      <c r="AS22" s="1">
        <v>1</v>
      </c>
      <c r="AT22" t="s">
        <v>459</v>
      </c>
      <c r="AU22" t="s">
        <v>458</v>
      </c>
      <c r="AV22" s="1">
        <v>1</v>
      </c>
      <c r="AW22" t="s">
        <v>459</v>
      </c>
      <c r="BA22" t="s">
        <v>458</v>
      </c>
      <c r="BB22" s="1">
        <v>1</v>
      </c>
      <c r="BC22" t="s">
        <v>459</v>
      </c>
      <c r="BD22" t="s">
        <v>458</v>
      </c>
      <c r="BE22" s="1">
        <v>1</v>
      </c>
      <c r="BF22" t="s">
        <v>459</v>
      </c>
      <c r="BJ22" t="s">
        <v>458</v>
      </c>
      <c r="BK22" s="1">
        <v>1</v>
      </c>
      <c r="BL22" t="s">
        <v>459</v>
      </c>
      <c r="BM22" t="s">
        <v>458</v>
      </c>
      <c r="BN22" s="1">
        <v>1</v>
      </c>
      <c r="BO22" t="s">
        <v>459</v>
      </c>
      <c r="BS22" t="s">
        <v>477</v>
      </c>
      <c r="BT22" s="1">
        <f>(BT5)/((BT14/24)*BT8*BT9*BT19*(1/365)*BT20)</f>
        <v>574269011598.46423</v>
      </c>
      <c r="BU22" t="s">
        <v>36</v>
      </c>
      <c r="BV22" t="s">
        <v>401</v>
      </c>
      <c r="BW22">
        <v>1</v>
      </c>
      <c r="BY22" t="s">
        <v>221</v>
      </c>
      <c r="BZ22">
        <v>75</v>
      </c>
      <c r="CA22" t="s">
        <v>52</v>
      </c>
      <c r="CB22" t="s">
        <v>49</v>
      </c>
      <c r="CC22" s="1">
        <f>0.693/CC23</f>
        <v>2.3099999999999999E-2</v>
      </c>
      <c r="CE22" t="s">
        <v>49</v>
      </c>
      <c r="CF22" s="1">
        <f>0.693/CF23</f>
        <v>2.3099999999999999E-2</v>
      </c>
      <c r="CK22" t="s">
        <v>221</v>
      </c>
      <c r="CL22">
        <v>75</v>
      </c>
      <c r="CM22" t="s">
        <v>245</v>
      </c>
      <c r="CN22" t="s">
        <v>54</v>
      </c>
      <c r="CO22">
        <f>CO24</f>
        <v>0.25</v>
      </c>
      <c r="CR22">
        <v>1000</v>
      </c>
      <c r="CS22" t="s">
        <v>213</v>
      </c>
      <c r="CT22" t="s">
        <v>482</v>
      </c>
      <c r="CU22" s="1">
        <f>DY3</f>
        <v>7.6204506272843869E-5</v>
      </c>
      <c r="CV22" t="s">
        <v>22</v>
      </c>
      <c r="CW22" t="s">
        <v>452</v>
      </c>
      <c r="CX22" s="1">
        <f>(CX5*CX9*CX6)/((CX14/CX15)*(1-EXP(-CX6*CX9))*CX10*CX11)</f>
        <v>9.1900473959076514</v>
      </c>
      <c r="CY22" t="s">
        <v>37</v>
      </c>
      <c r="CZ22" t="s">
        <v>483</v>
      </c>
      <c r="DA22" s="1">
        <f>GD3</f>
        <v>0.13588005565944899</v>
      </c>
      <c r="DC22" t="s">
        <v>433</v>
      </c>
      <c r="DD22" s="1">
        <f>B61</f>
        <v>0.15</v>
      </c>
      <c r="DF22" t="s">
        <v>144</v>
      </c>
      <c r="DG22">
        <v>14</v>
      </c>
      <c r="DH22" t="s">
        <v>145</v>
      </c>
      <c r="DO22" t="s">
        <v>144</v>
      </c>
      <c r="DP22">
        <v>14</v>
      </c>
      <c r="DQ22" t="s">
        <v>145</v>
      </c>
      <c r="ED22" t="s">
        <v>144</v>
      </c>
      <c r="EE22">
        <v>14</v>
      </c>
      <c r="EF22" t="s">
        <v>145</v>
      </c>
      <c r="ES22" t="s">
        <v>144</v>
      </c>
      <c r="ET22">
        <v>14</v>
      </c>
      <c r="EU22" t="s">
        <v>145</v>
      </c>
      <c r="FH22" t="s">
        <v>144</v>
      </c>
      <c r="FI22">
        <v>14</v>
      </c>
      <c r="FJ22" t="s">
        <v>145</v>
      </c>
      <c r="FW22" t="s">
        <v>144</v>
      </c>
      <c r="FX22">
        <v>14</v>
      </c>
      <c r="FY22" t="s">
        <v>145</v>
      </c>
      <c r="GL22" t="s">
        <v>144</v>
      </c>
      <c r="GM22">
        <v>14</v>
      </c>
      <c r="GN22" t="s">
        <v>145</v>
      </c>
      <c r="HA22" t="s">
        <v>144</v>
      </c>
      <c r="HB22">
        <v>14</v>
      </c>
      <c r="HC22" t="s">
        <v>145</v>
      </c>
      <c r="HD22" s="160" t="s">
        <v>22</v>
      </c>
      <c r="HE22" s="161" t="s">
        <v>33</v>
      </c>
      <c r="HF22" s="162" t="s">
        <v>35</v>
      </c>
    </row>
    <row r="23" spans="1:214" x14ac:dyDescent="0.2">
      <c r="A23" t="s">
        <v>442</v>
      </c>
      <c r="B23" s="410">
        <v>0.63600000000000001</v>
      </c>
      <c r="C23" t="s">
        <v>449</v>
      </c>
      <c r="D23" t="s">
        <v>477</v>
      </c>
      <c r="E23" s="1">
        <f>(E5*E9*E6)/((E14/E15)*E8*E9*(1-EXP(-E6*E9))*E18*(1/365)*E19)</f>
        <v>5127563404.128541</v>
      </c>
      <c r="F23" t="s">
        <v>37</v>
      </c>
      <c r="G23" t="s">
        <v>374</v>
      </c>
      <c r="H23" s="1">
        <f>B52</f>
        <v>14.8</v>
      </c>
      <c r="I23" t="s">
        <v>380</v>
      </c>
      <c r="J23" t="s">
        <v>223</v>
      </c>
      <c r="K23">
        <f>B45</f>
        <v>10</v>
      </c>
      <c r="L23" t="s">
        <v>78</v>
      </c>
      <c r="M23" t="s">
        <v>58</v>
      </c>
      <c r="N23">
        <v>26</v>
      </c>
      <c r="O23" t="s">
        <v>59</v>
      </c>
      <c r="P23" t="s">
        <v>58</v>
      </c>
      <c r="Q23">
        <v>26</v>
      </c>
      <c r="R23" t="s">
        <v>59</v>
      </c>
      <c r="V23" s="91" t="s">
        <v>18</v>
      </c>
      <c r="W23" s="92" t="s">
        <v>456</v>
      </c>
      <c r="X23" s="92" t="s">
        <v>19</v>
      </c>
      <c r="Y23" s="249" t="s">
        <v>18</v>
      </c>
      <c r="Z23" s="92" t="s">
        <v>456</v>
      </c>
      <c r="AA23" s="93" t="s">
        <v>19</v>
      </c>
      <c r="AB23" t="s">
        <v>460</v>
      </c>
      <c r="AC23" s="1">
        <f>B21</f>
        <v>3.19</v>
      </c>
      <c r="AD23" s="1">
        <f>B21</f>
        <v>3.19</v>
      </c>
      <c r="AE23" s="1">
        <f>B21</f>
        <v>3.19</v>
      </c>
      <c r="AF23" s="1">
        <f>B21</f>
        <v>3.19</v>
      </c>
      <c r="AG23" s="1">
        <f>B21</f>
        <v>3.19</v>
      </c>
      <c r="AH23" t="s">
        <v>147</v>
      </c>
      <c r="AI23" t="s">
        <v>58</v>
      </c>
      <c r="AJ23">
        <v>25</v>
      </c>
      <c r="AK23" t="s">
        <v>59</v>
      </c>
      <c r="AL23" t="s">
        <v>58</v>
      </c>
      <c r="AM23">
        <v>25</v>
      </c>
      <c r="AN23" t="s">
        <v>59</v>
      </c>
      <c r="AR23" t="s">
        <v>58</v>
      </c>
      <c r="AS23">
        <v>25</v>
      </c>
      <c r="AT23" t="s">
        <v>59</v>
      </c>
      <c r="AU23" t="s">
        <v>58</v>
      </c>
      <c r="AV23">
        <v>25</v>
      </c>
      <c r="AW23" t="s">
        <v>59</v>
      </c>
      <c r="BA23" t="s">
        <v>58</v>
      </c>
      <c r="BB23">
        <v>25</v>
      </c>
      <c r="BC23" t="s">
        <v>59</v>
      </c>
      <c r="BD23" t="s">
        <v>58</v>
      </c>
      <c r="BE23">
        <v>25</v>
      </c>
      <c r="BF23" t="s">
        <v>59</v>
      </c>
      <c r="BJ23" t="s">
        <v>58</v>
      </c>
      <c r="BK23">
        <v>1</v>
      </c>
      <c r="BL23" t="s">
        <v>59</v>
      </c>
      <c r="BM23" t="s">
        <v>58</v>
      </c>
      <c r="BN23">
        <v>1</v>
      </c>
      <c r="BO23" t="s">
        <v>59</v>
      </c>
      <c r="BS23" t="s">
        <v>452</v>
      </c>
      <c r="BT23" s="1">
        <f>(BT5*BT28*BT6)/((1-EXP(-BT6*BT9))*BT10*BT11)</f>
        <v>16502.874443744571</v>
      </c>
      <c r="BU23" t="s">
        <v>37</v>
      </c>
      <c r="BV23" t="s">
        <v>399</v>
      </c>
      <c r="BW23">
        <v>1</v>
      </c>
      <c r="BX23" t="s">
        <v>164</v>
      </c>
      <c r="BY23" t="s">
        <v>73</v>
      </c>
      <c r="BZ23">
        <v>75</v>
      </c>
      <c r="CA23" t="s">
        <v>52</v>
      </c>
      <c r="CB23" t="s">
        <v>411</v>
      </c>
      <c r="CC23" s="1">
        <f>B29</f>
        <v>30</v>
      </c>
      <c r="CD23" t="s">
        <v>119</v>
      </c>
      <c r="CE23" t="s">
        <v>411</v>
      </c>
      <c r="CF23" s="1">
        <f>B29</f>
        <v>30</v>
      </c>
      <c r="CG23" t="s">
        <v>119</v>
      </c>
      <c r="CK23" t="s">
        <v>99</v>
      </c>
      <c r="CL23">
        <v>1</v>
      </c>
      <c r="CM23" t="s">
        <v>253</v>
      </c>
      <c r="CN23" t="s">
        <v>64</v>
      </c>
      <c r="CO23">
        <v>5.0000000000000001E-3</v>
      </c>
      <c r="CT23" t="s">
        <v>483</v>
      </c>
      <c r="CU23" s="1">
        <f>GG3</f>
        <v>9.5253462796759773E-4</v>
      </c>
      <c r="CV23" t="s">
        <v>22</v>
      </c>
      <c r="CW23" t="s">
        <v>477</v>
      </c>
      <c r="CX23" s="1">
        <f>(CX5*CX9*CX6)/((CX14/CX15)*CX8*CX9*(1-EXP(-CX6*CX9))*CX18*(1/365)*CX19)</f>
        <v>5186851381.8088951</v>
      </c>
      <c r="CY23" t="s">
        <v>37</v>
      </c>
      <c r="CZ23" t="s">
        <v>484</v>
      </c>
      <c r="DA23" s="1">
        <f>FO3</f>
        <v>2.7176011131889802E-4</v>
      </c>
      <c r="DC23" t="s">
        <v>432</v>
      </c>
      <c r="DD23" s="1">
        <f>B62</f>
        <v>0.85</v>
      </c>
      <c r="DF23" t="s">
        <v>485</v>
      </c>
      <c r="DG23" s="1">
        <f>B33</f>
        <v>11000</v>
      </c>
      <c r="DH23" t="s">
        <v>381</v>
      </c>
      <c r="DO23" t="s">
        <v>46</v>
      </c>
      <c r="DP23">
        <f>DP25</f>
        <v>0.03</v>
      </c>
      <c r="ED23" t="s">
        <v>46</v>
      </c>
      <c r="EE23">
        <f>EE25</f>
        <v>10</v>
      </c>
      <c r="ES23" t="s">
        <v>46</v>
      </c>
      <c r="ET23">
        <f>ET25</f>
        <v>10</v>
      </c>
      <c r="FH23" t="s">
        <v>46</v>
      </c>
      <c r="FI23">
        <v>0.2</v>
      </c>
      <c r="FW23" t="s">
        <v>46</v>
      </c>
      <c r="FX23">
        <f>FX25</f>
        <v>0.2</v>
      </c>
      <c r="GL23" t="s">
        <v>46</v>
      </c>
      <c r="GM23">
        <f>GM25</f>
        <v>5.0000000000000001E-3</v>
      </c>
      <c r="HA23" t="s">
        <v>46</v>
      </c>
      <c r="HB23">
        <f>HB25</f>
        <v>5.0000000000000001E-3</v>
      </c>
      <c r="HD23" s="302">
        <f>(HE25*HE33*HE38*HE32*10^-3*HE31*HE27)/(HE30*HE41*(1-EXP(-HE27*HE31)))</f>
        <v>0.55845394219543287</v>
      </c>
      <c r="HE23" s="303"/>
      <c r="HF23" s="162" t="s">
        <v>38</v>
      </c>
    </row>
    <row r="24" spans="1:214" ht="13.5" thickBot="1" x14ac:dyDescent="0.25">
      <c r="A24" t="s">
        <v>443</v>
      </c>
      <c r="B24" s="410">
        <v>1.82</v>
      </c>
      <c r="C24" t="s">
        <v>449</v>
      </c>
      <c r="D24" t="s">
        <v>225</v>
      </c>
      <c r="E24">
        <v>350</v>
      </c>
      <c r="F24" t="s">
        <v>52</v>
      </c>
      <c r="G24" t="s">
        <v>375</v>
      </c>
      <c r="H24" s="1">
        <f>B53</f>
        <v>56.2</v>
      </c>
      <c r="I24" t="s">
        <v>380</v>
      </c>
      <c r="J24" t="s">
        <v>224</v>
      </c>
      <c r="K24">
        <f>B46</f>
        <v>20</v>
      </c>
      <c r="L24" t="s">
        <v>78</v>
      </c>
      <c r="M24" t="s">
        <v>49</v>
      </c>
      <c r="N24" s="1">
        <f>0.693/N25</f>
        <v>2.3099999999999999E-2</v>
      </c>
      <c r="P24" t="s">
        <v>49</v>
      </c>
      <c r="Q24" s="1">
        <f>0.693/Q25</f>
        <v>2.3099999999999999E-2</v>
      </c>
      <c r="V24" s="91" t="s">
        <v>37</v>
      </c>
      <c r="W24" s="94">
        <f>1/((1/W39)+(1/W40))</f>
        <v>11.901111301300585</v>
      </c>
      <c r="X24" s="127"/>
      <c r="Y24" s="250" t="s">
        <v>37</v>
      </c>
      <c r="Z24" s="94">
        <f>1/((1/Z37)+(1/Z38))</f>
        <v>11.901111371198787</v>
      </c>
      <c r="AA24" s="95"/>
      <c r="AB24" t="s">
        <v>436</v>
      </c>
      <c r="AC24" s="1">
        <f>B17</f>
        <v>1.7E-5</v>
      </c>
      <c r="AD24" s="1">
        <f>B17</f>
        <v>1.7E-5</v>
      </c>
      <c r="AE24" s="1">
        <f>B17</f>
        <v>1.7E-5</v>
      </c>
      <c r="AF24" s="1">
        <f>B17</f>
        <v>1.7E-5</v>
      </c>
      <c r="AG24" s="1">
        <f>B17</f>
        <v>1.7E-5</v>
      </c>
      <c r="AH24" t="s">
        <v>61</v>
      </c>
      <c r="AI24" t="s">
        <v>49</v>
      </c>
      <c r="AJ24" s="1">
        <f>0.693/AJ25</f>
        <v>2.3099999999999999E-2</v>
      </c>
      <c r="AL24" t="s">
        <v>49</v>
      </c>
      <c r="AM24" s="1">
        <f>0.693/AM25</f>
        <v>2.3099999999999999E-2</v>
      </c>
      <c r="AR24" t="s">
        <v>49</v>
      </c>
      <c r="AS24" s="1">
        <f>0.693/AS25</f>
        <v>2.3099999999999999E-2</v>
      </c>
      <c r="AU24" t="s">
        <v>49</v>
      </c>
      <c r="AV24" s="1">
        <f>0.693/AV25</f>
        <v>2.3099999999999999E-2</v>
      </c>
      <c r="BA24" t="s">
        <v>49</v>
      </c>
      <c r="BB24" s="1">
        <f>0.693/BB25</f>
        <v>2.3099999999999999E-2</v>
      </c>
      <c r="BD24" t="s">
        <v>49</v>
      </c>
      <c r="BE24" s="1">
        <f>0.693/BE25</f>
        <v>2.3099999999999999E-2</v>
      </c>
      <c r="BJ24" t="s">
        <v>49</v>
      </c>
      <c r="BK24" s="1">
        <f>0.693/BK25</f>
        <v>2.3099999999999999E-2</v>
      </c>
      <c r="BM24" t="s">
        <v>49</v>
      </c>
      <c r="BN24" s="1">
        <f>0.693/BN25</f>
        <v>2.3099999999999999E-2</v>
      </c>
      <c r="BS24" t="s">
        <v>477</v>
      </c>
      <c r="BT24" s="1">
        <f>(BT5*BT9*BT6)/((BT14/24)*BT8*BT9*(1-EXP(-BT6*BT9))*BT19*(1/365)*BT20)</f>
        <v>580927354762.59619</v>
      </c>
      <c r="BU24" t="s">
        <v>37</v>
      </c>
      <c r="BV24" t="s">
        <v>398</v>
      </c>
      <c r="BW24">
        <v>1</v>
      </c>
      <c r="BX24" t="s">
        <v>164</v>
      </c>
      <c r="BY24" t="s">
        <v>67</v>
      </c>
      <c r="BZ24">
        <v>75</v>
      </c>
      <c r="CA24" t="s">
        <v>52</v>
      </c>
      <c r="CB24" t="s">
        <v>51</v>
      </c>
      <c r="CC24">
        <v>75</v>
      </c>
      <c r="CD24" t="s">
        <v>60</v>
      </c>
      <c r="CE24" t="s">
        <v>51</v>
      </c>
      <c r="CF24">
        <v>75</v>
      </c>
      <c r="CG24" t="s">
        <v>60</v>
      </c>
      <c r="CK24" t="s">
        <v>304</v>
      </c>
      <c r="CL24" s="17">
        <v>1</v>
      </c>
      <c r="CM24" t="s">
        <v>380</v>
      </c>
      <c r="CN24" t="s">
        <v>311</v>
      </c>
      <c r="CO24" s="17">
        <v>0.25</v>
      </c>
      <c r="CT24" t="s">
        <v>484</v>
      </c>
      <c r="CU24" s="1">
        <f>FR3</f>
        <v>2.2284329128149635E-6</v>
      </c>
      <c r="CV24" t="s">
        <v>22</v>
      </c>
      <c r="CW24" t="s">
        <v>225</v>
      </c>
      <c r="CX24">
        <v>350</v>
      </c>
      <c r="CY24" t="s">
        <v>52</v>
      </c>
      <c r="CZ24" t="s">
        <v>81</v>
      </c>
      <c r="DA24" s="427">
        <f>(DA35*DA37*DA27*DA51)+(DA36*DA38*DA28*DA52)</f>
        <v>784.7</v>
      </c>
      <c r="DB24" t="s">
        <v>180</v>
      </c>
      <c r="DG24">
        <v>1000</v>
      </c>
      <c r="DO24" t="s">
        <v>54</v>
      </c>
      <c r="DP24">
        <f>DP26</f>
        <v>0.26</v>
      </c>
      <c r="ED24" t="s">
        <v>54</v>
      </c>
      <c r="EE24">
        <f>EE26</f>
        <v>0.25</v>
      </c>
      <c r="ES24" t="s">
        <v>54</v>
      </c>
      <c r="ET24">
        <f>ET26</f>
        <v>0.25</v>
      </c>
      <c r="FH24" t="s">
        <v>54</v>
      </c>
      <c r="FI24">
        <v>0.25</v>
      </c>
      <c r="FW24" t="s">
        <v>54</v>
      </c>
      <c r="FX24">
        <f>FX26</f>
        <v>0.25</v>
      </c>
      <c r="GL24" t="s">
        <v>54</v>
      </c>
      <c r="GM24">
        <f>GM26</f>
        <v>0.25</v>
      </c>
      <c r="HA24" t="s">
        <v>54</v>
      </c>
      <c r="HB24">
        <f>HB26</f>
        <v>0.25</v>
      </c>
      <c r="HD24" s="304">
        <f>(HE26*HE33*HE38*HE32*10^-3*HE31*HE27)/(HE30*HE41*(1-EXP(-HE27*HE31)))</f>
        <v>9.5906447878375996E-4</v>
      </c>
      <c r="HE24" s="305"/>
      <c r="HF24" s="306" t="s">
        <v>43</v>
      </c>
    </row>
    <row r="25" spans="1:214" ht="14.25" thickTop="1" thickBot="1" x14ac:dyDescent="0.25">
      <c r="A25" t="s">
        <v>444</v>
      </c>
      <c r="B25" s="410">
        <v>2.83</v>
      </c>
      <c r="C25" t="s">
        <v>449</v>
      </c>
      <c r="D25" t="s">
        <v>226</v>
      </c>
      <c r="E25">
        <v>350</v>
      </c>
      <c r="F25" t="s">
        <v>52</v>
      </c>
      <c r="G25" t="s">
        <v>372</v>
      </c>
      <c r="H25" s="427">
        <f>(H29*H32*H26*H70)+(H30*H33*H27*H71)</f>
        <v>8513.0769230769238</v>
      </c>
      <c r="I25" t="s">
        <v>213</v>
      </c>
      <c r="J25" t="s">
        <v>373</v>
      </c>
      <c r="K25" s="427">
        <f>(K31*K35*K26*K53)+(K32*K34*K27*K54)</f>
        <v>16326.153846153848</v>
      </c>
      <c r="L25" t="s">
        <v>213</v>
      </c>
      <c r="M25" t="s">
        <v>411</v>
      </c>
      <c r="N25" s="1">
        <f>B29</f>
        <v>30</v>
      </c>
      <c r="O25" t="s">
        <v>119</v>
      </c>
      <c r="P25" t="s">
        <v>411</v>
      </c>
      <c r="Q25" s="1">
        <f>B29</f>
        <v>30</v>
      </c>
      <c r="R25" t="s">
        <v>119</v>
      </c>
      <c r="V25" s="130" t="s">
        <v>36</v>
      </c>
      <c r="W25" s="96">
        <f>1/((1/W37)+(1/W38))</f>
        <v>11.764705806828777</v>
      </c>
      <c r="X25" s="128"/>
      <c r="Y25" s="251" t="s">
        <v>36</v>
      </c>
      <c r="Z25" s="129">
        <f>1/((1/Z39)+(1/Z40))</f>
        <v>11.764705875925834</v>
      </c>
      <c r="AA25" s="97"/>
      <c r="AC25" s="1"/>
      <c r="AD25" s="1"/>
      <c r="AE25" s="1"/>
      <c r="AI25" t="s">
        <v>411</v>
      </c>
      <c r="AJ25" s="1">
        <f>B29</f>
        <v>30</v>
      </c>
      <c r="AK25" t="s">
        <v>119</v>
      </c>
      <c r="AL25" t="s">
        <v>411</v>
      </c>
      <c r="AM25" s="1">
        <f>B29</f>
        <v>30</v>
      </c>
      <c r="AN25" t="s">
        <v>119</v>
      </c>
      <c r="AR25" t="s">
        <v>411</v>
      </c>
      <c r="AS25" s="1">
        <f>B29</f>
        <v>30</v>
      </c>
      <c r="AT25" t="s">
        <v>119</v>
      </c>
      <c r="AU25" t="s">
        <v>411</v>
      </c>
      <c r="AV25" s="1">
        <f>B29</f>
        <v>30</v>
      </c>
      <c r="AW25" t="s">
        <v>119</v>
      </c>
      <c r="BA25" t="s">
        <v>411</v>
      </c>
      <c r="BB25" s="1">
        <f>B29</f>
        <v>30</v>
      </c>
      <c r="BC25" t="s">
        <v>119</v>
      </c>
      <c r="BD25" t="s">
        <v>411</v>
      </c>
      <c r="BE25" s="1">
        <f>B29</f>
        <v>30</v>
      </c>
      <c r="BF25" t="s">
        <v>119</v>
      </c>
      <c r="BJ25" t="s">
        <v>411</v>
      </c>
      <c r="BK25" s="1">
        <f>B29</f>
        <v>30</v>
      </c>
      <c r="BL25" t="s">
        <v>119</v>
      </c>
      <c r="BM25" t="s">
        <v>411</v>
      </c>
      <c r="BN25" s="1">
        <f>B29</f>
        <v>30</v>
      </c>
      <c r="BO25" t="s">
        <v>119</v>
      </c>
      <c r="BS25" t="s">
        <v>225</v>
      </c>
      <c r="BT25">
        <v>75</v>
      </c>
      <c r="BU25" t="s">
        <v>52</v>
      </c>
      <c r="BV25" t="s">
        <v>400</v>
      </c>
      <c r="BW25">
        <v>1</v>
      </c>
      <c r="BX25" t="s">
        <v>80</v>
      </c>
      <c r="BY25" t="s">
        <v>99</v>
      </c>
      <c r="BZ25">
        <v>1</v>
      </c>
      <c r="CA25" t="s">
        <v>119</v>
      </c>
      <c r="CB25" t="s">
        <v>65</v>
      </c>
      <c r="CC25">
        <v>1</v>
      </c>
      <c r="CD25" t="s">
        <v>59</v>
      </c>
      <c r="CE25" t="s">
        <v>65</v>
      </c>
      <c r="CF25">
        <v>1</v>
      </c>
      <c r="CG25" t="s">
        <v>59</v>
      </c>
      <c r="CN25" t="s">
        <v>309</v>
      </c>
      <c r="CO25" s="17">
        <v>1</v>
      </c>
      <c r="CP25" t="s">
        <v>431</v>
      </c>
      <c r="CT25" t="s">
        <v>82</v>
      </c>
      <c r="CU25" s="428">
        <f>(CU27*CU31*CU35*CU49)+(CU28*CU32*CU34*CU50)</f>
        <v>40250</v>
      </c>
      <c r="CV25" t="s">
        <v>406</v>
      </c>
      <c r="CW25" t="s">
        <v>226</v>
      </c>
      <c r="CX25">
        <v>350</v>
      </c>
      <c r="CY25" t="s">
        <v>52</v>
      </c>
      <c r="CZ25" t="s">
        <v>77</v>
      </c>
      <c r="DA25" s="427">
        <f>(DA35*DA37*DA29*(DA40/24)*DA51)+(DA36*DA38*DA30*(DA41/24)*DA52)</f>
        <v>6475</v>
      </c>
      <c r="DB25" t="s">
        <v>407</v>
      </c>
      <c r="DO25" t="s">
        <v>63</v>
      </c>
      <c r="DP25">
        <f>B40</f>
        <v>0.03</v>
      </c>
      <c r="ED25" t="s">
        <v>64</v>
      </c>
      <c r="EE25">
        <f>B41</f>
        <v>10</v>
      </c>
      <c r="ES25" t="s">
        <v>64</v>
      </c>
      <c r="ET25">
        <f>B41</f>
        <v>10</v>
      </c>
      <c r="FH25" t="s">
        <v>64</v>
      </c>
      <c r="FI25">
        <v>5.0000000000000001E-3</v>
      </c>
      <c r="FW25" t="s">
        <v>64</v>
      </c>
      <c r="FX25">
        <v>0.2</v>
      </c>
      <c r="GL25" t="s">
        <v>64</v>
      </c>
      <c r="GM25">
        <v>5.0000000000000001E-3</v>
      </c>
      <c r="HA25" t="s">
        <v>64</v>
      </c>
      <c r="HB25">
        <v>5.0000000000000001E-3</v>
      </c>
      <c r="HD25" s="2" t="s">
        <v>48</v>
      </c>
      <c r="HE25" s="1">
        <v>15</v>
      </c>
      <c r="HF25" t="s">
        <v>24</v>
      </c>
    </row>
    <row r="26" spans="1:214" ht="13.5" thickTop="1" x14ac:dyDescent="0.2">
      <c r="A26" t="s">
        <v>445</v>
      </c>
      <c r="B26" s="410">
        <v>2.3899999999999998E-9</v>
      </c>
      <c r="C26" t="s">
        <v>449</v>
      </c>
      <c r="D26" t="s">
        <v>435</v>
      </c>
      <c r="E26" s="1">
        <f>B59</f>
        <v>0.23076923076923078</v>
      </c>
      <c r="G26" t="s">
        <v>370</v>
      </c>
      <c r="H26" s="1">
        <f>B54</f>
        <v>10.4</v>
      </c>
      <c r="I26" t="s">
        <v>380</v>
      </c>
      <c r="J26" t="s">
        <v>374</v>
      </c>
      <c r="K26" s="1">
        <f>B52</f>
        <v>14.8</v>
      </c>
      <c r="L26" t="s">
        <v>380</v>
      </c>
      <c r="M26" t="s">
        <v>51</v>
      </c>
      <c r="N26">
        <v>350</v>
      </c>
      <c r="O26" t="s">
        <v>60</v>
      </c>
      <c r="P26" t="s">
        <v>51</v>
      </c>
      <c r="Q26">
        <v>350</v>
      </c>
      <c r="R26" t="s">
        <v>60</v>
      </c>
      <c r="V26" t="s">
        <v>458</v>
      </c>
      <c r="W26" s="1">
        <v>1</v>
      </c>
      <c r="X26" t="s">
        <v>459</v>
      </c>
      <c r="Y26" t="s">
        <v>458</v>
      </c>
      <c r="Z26" s="1">
        <v>1</v>
      </c>
      <c r="AA26" t="s">
        <v>459</v>
      </c>
      <c r="AC26" s="1"/>
      <c r="AD26" s="1"/>
      <c r="AE26" s="1"/>
      <c r="AI26" t="s">
        <v>51</v>
      </c>
      <c r="AJ26">
        <v>250</v>
      </c>
      <c r="AK26" t="s">
        <v>60</v>
      </c>
      <c r="AL26" t="s">
        <v>51</v>
      </c>
      <c r="AM26">
        <v>250</v>
      </c>
      <c r="AN26" t="s">
        <v>60</v>
      </c>
      <c r="AR26" t="s">
        <v>51</v>
      </c>
      <c r="AS26">
        <v>225</v>
      </c>
      <c r="AT26" t="s">
        <v>60</v>
      </c>
      <c r="AU26" t="s">
        <v>51</v>
      </c>
      <c r="AV26">
        <v>225</v>
      </c>
      <c r="AW26" t="s">
        <v>60</v>
      </c>
      <c r="BA26" t="s">
        <v>51</v>
      </c>
      <c r="BB26">
        <v>250</v>
      </c>
      <c r="BC26" t="s">
        <v>60</v>
      </c>
      <c r="BD26" t="s">
        <v>51</v>
      </c>
      <c r="BE26">
        <v>250</v>
      </c>
      <c r="BF26" t="s">
        <v>60</v>
      </c>
      <c r="BJ26" t="s">
        <v>51</v>
      </c>
      <c r="BK26">
        <f>BK27*BK28</f>
        <v>250</v>
      </c>
      <c r="BL26" t="s">
        <v>60</v>
      </c>
      <c r="BM26" t="s">
        <v>51</v>
      </c>
      <c r="BN26">
        <f>BN27*BN28</f>
        <v>250</v>
      </c>
      <c r="BO26" t="s">
        <v>60</v>
      </c>
      <c r="BS26" t="s">
        <v>226</v>
      </c>
      <c r="BT26">
        <v>75</v>
      </c>
      <c r="BU26" t="s">
        <v>52</v>
      </c>
      <c r="BV26" t="s">
        <v>151</v>
      </c>
      <c r="BW26">
        <v>1</v>
      </c>
      <c r="BX26" t="s">
        <v>152</v>
      </c>
      <c r="BY26" t="s">
        <v>98</v>
      </c>
      <c r="BZ26">
        <v>1</v>
      </c>
      <c r="CA26" t="s">
        <v>119</v>
      </c>
      <c r="CB26" t="s">
        <v>463</v>
      </c>
      <c r="CC26" s="1">
        <f>B11</f>
        <v>2.6599999999999999E-2</v>
      </c>
      <c r="CE26" t="s">
        <v>463</v>
      </c>
      <c r="CF26" s="1">
        <f>B7</f>
        <v>5.0099999999999999E-2</v>
      </c>
      <c r="CN26" t="s">
        <v>312</v>
      </c>
      <c r="CO26" s="17">
        <v>1</v>
      </c>
      <c r="CP26" t="s">
        <v>431</v>
      </c>
      <c r="CT26" t="s">
        <v>77</v>
      </c>
      <c r="CU26" s="428">
        <f>((CU35*CU31*CU29*CU49)+(CU34*CU32*CU30*CU50))</f>
        <v>6475</v>
      </c>
      <c r="CV26" t="s">
        <v>407</v>
      </c>
      <c r="CW26" t="s">
        <v>433</v>
      </c>
      <c r="CX26" s="1">
        <f>B61</f>
        <v>0.15</v>
      </c>
      <c r="CZ26" t="s">
        <v>240</v>
      </c>
      <c r="DA26" s="427">
        <f>(DA35*DA37*DA42*DA44*DA51)+(DA36*DA38*DA43*DA45*DA52)</f>
        <v>239.57499999999999</v>
      </c>
      <c r="DB26" t="s">
        <v>408</v>
      </c>
      <c r="DF26" t="s">
        <v>64</v>
      </c>
      <c r="DG26">
        <f>B41</f>
        <v>10</v>
      </c>
      <c r="DO26" t="s">
        <v>70</v>
      </c>
      <c r="DP26">
        <v>0.26</v>
      </c>
      <c r="ED26" t="s">
        <v>70</v>
      </c>
      <c r="EE26">
        <v>0.25</v>
      </c>
      <c r="EJ26" t="s">
        <v>64</v>
      </c>
      <c r="EK26">
        <v>0.04</v>
      </c>
      <c r="ES26" t="s">
        <v>70</v>
      </c>
      <c r="ET26">
        <v>0.25</v>
      </c>
      <c r="FH26" t="s">
        <v>290</v>
      </c>
      <c r="FI26">
        <v>0.25</v>
      </c>
      <c r="FW26" t="s">
        <v>285</v>
      </c>
      <c r="FX26">
        <v>0.25</v>
      </c>
      <c r="GL26" t="s">
        <v>279</v>
      </c>
      <c r="GM26">
        <v>0.25</v>
      </c>
      <c r="HA26" t="s">
        <v>284</v>
      </c>
      <c r="HB26">
        <v>0.25</v>
      </c>
      <c r="HD26" t="s">
        <v>456</v>
      </c>
      <c r="HE26" s="1">
        <f>H3</f>
        <v>2.5760346726538066E-2</v>
      </c>
      <c r="HF26" t="s">
        <v>24</v>
      </c>
    </row>
    <row r="27" spans="1:214" ht="12.75" customHeight="1" x14ac:dyDescent="0.2">
      <c r="A27" t="s">
        <v>446</v>
      </c>
      <c r="B27" s="410">
        <v>6.4500000000000001E-6</v>
      </c>
      <c r="C27" t="s">
        <v>448</v>
      </c>
      <c r="D27" t="s">
        <v>434</v>
      </c>
      <c r="E27" s="1">
        <f>B60</f>
        <v>0.76923076923076927</v>
      </c>
      <c r="G27" t="s">
        <v>371</v>
      </c>
      <c r="H27" s="1">
        <f>B55</f>
        <v>28.5</v>
      </c>
      <c r="I27" t="s">
        <v>380</v>
      </c>
      <c r="J27" t="s">
        <v>375</v>
      </c>
      <c r="K27" s="1">
        <f>B53</f>
        <v>56.2</v>
      </c>
      <c r="L27" t="s">
        <v>380</v>
      </c>
      <c r="M27" t="s">
        <v>65</v>
      </c>
      <c r="N27">
        <v>1</v>
      </c>
      <c r="O27" t="s">
        <v>59</v>
      </c>
      <c r="P27" t="s">
        <v>65</v>
      </c>
      <c r="Q27">
        <v>1</v>
      </c>
      <c r="R27" t="s">
        <v>59</v>
      </c>
      <c r="V27" t="s">
        <v>49</v>
      </c>
      <c r="W27" s="1">
        <f>0.693/W28</f>
        <v>2.3099999999999999E-2</v>
      </c>
      <c r="Y27" t="s">
        <v>49</v>
      </c>
      <c r="Z27" s="1">
        <f>0.693/Z28</f>
        <v>2.3099999999999999E-2</v>
      </c>
      <c r="AB27" t="s">
        <v>65</v>
      </c>
      <c r="AC27">
        <v>25</v>
      </c>
      <c r="AD27">
        <v>25</v>
      </c>
      <c r="AE27">
        <v>25</v>
      </c>
      <c r="AF27">
        <v>1</v>
      </c>
      <c r="AG27">
        <v>1</v>
      </c>
      <c r="AH27" t="s">
        <v>119</v>
      </c>
      <c r="AI27" t="s">
        <v>65</v>
      </c>
      <c r="AJ27">
        <v>1</v>
      </c>
      <c r="AK27" t="s">
        <v>59</v>
      </c>
      <c r="AL27" t="s">
        <v>65</v>
      </c>
      <c r="AM27">
        <v>1</v>
      </c>
      <c r="AN27" t="s">
        <v>59</v>
      </c>
      <c r="AR27" t="s">
        <v>65</v>
      </c>
      <c r="AS27">
        <v>1</v>
      </c>
      <c r="AT27" t="s">
        <v>59</v>
      </c>
      <c r="AU27" t="s">
        <v>65</v>
      </c>
      <c r="AV27">
        <v>1</v>
      </c>
      <c r="AW27" t="s">
        <v>59</v>
      </c>
      <c r="BA27" t="s">
        <v>65</v>
      </c>
      <c r="BB27">
        <v>1</v>
      </c>
      <c r="BC27" t="s">
        <v>59</v>
      </c>
      <c r="BD27" t="s">
        <v>65</v>
      </c>
      <c r="BE27">
        <v>1</v>
      </c>
      <c r="BF27" t="s">
        <v>59</v>
      </c>
      <c r="BJ27" t="s">
        <v>378</v>
      </c>
      <c r="BK27">
        <v>50</v>
      </c>
      <c r="BL27" t="s">
        <v>389</v>
      </c>
      <c r="BM27" t="s">
        <v>378</v>
      </c>
      <c r="BN27">
        <v>50</v>
      </c>
      <c r="BO27" t="s">
        <v>389</v>
      </c>
      <c r="BS27" t="s">
        <v>221</v>
      </c>
      <c r="BT27">
        <v>75</v>
      </c>
      <c r="BU27" t="s">
        <v>52</v>
      </c>
      <c r="BV27" t="s">
        <v>153</v>
      </c>
      <c r="BW27">
        <v>1</v>
      </c>
      <c r="BX27" t="s">
        <v>152</v>
      </c>
      <c r="BY27" t="s">
        <v>83</v>
      </c>
      <c r="BZ27">
        <v>1</v>
      </c>
      <c r="CA27" t="s">
        <v>119</v>
      </c>
      <c r="CB27" t="s">
        <v>105</v>
      </c>
      <c r="CC27" s="1">
        <f>B12</f>
        <v>0.46500000000000002</v>
      </c>
      <c r="CE27" t="s">
        <v>105</v>
      </c>
      <c r="CF27" s="1">
        <f>B8</f>
        <v>0.72599999999999998</v>
      </c>
      <c r="CN27" t="s">
        <v>313</v>
      </c>
      <c r="CO27" s="17">
        <v>1</v>
      </c>
      <c r="CP27" t="s">
        <v>75</v>
      </c>
      <c r="CT27" t="s">
        <v>108</v>
      </c>
      <c r="CU27">
        <f>B48</f>
        <v>200</v>
      </c>
      <c r="CV27" t="s">
        <v>90</v>
      </c>
      <c r="CW27" t="s">
        <v>432</v>
      </c>
      <c r="CX27" s="1">
        <f>B62</f>
        <v>0.85</v>
      </c>
      <c r="CZ27" t="s">
        <v>97</v>
      </c>
      <c r="DA27">
        <f>B50</f>
        <v>0.78</v>
      </c>
      <c r="DB27" t="s">
        <v>56</v>
      </c>
      <c r="EB27" s="1"/>
      <c r="ED27" t="s">
        <v>317</v>
      </c>
      <c r="EE27" s="1">
        <f>B35</f>
        <v>8.0000000000000002E-3</v>
      </c>
      <c r="EQ27" s="1"/>
      <c r="ES27" t="s">
        <v>318</v>
      </c>
      <c r="ET27" s="1">
        <f>B36</f>
        <v>0.03</v>
      </c>
      <c r="FH27" t="s">
        <v>319</v>
      </c>
      <c r="FI27" s="406">
        <f>B38</f>
        <v>0.4</v>
      </c>
      <c r="FW27" t="s">
        <v>320</v>
      </c>
      <c r="FX27" s="17">
        <v>1</v>
      </c>
      <c r="GL27" t="s">
        <v>321</v>
      </c>
      <c r="GM27" s="406">
        <f>B37</f>
        <v>10</v>
      </c>
      <c r="HA27" t="s">
        <v>322</v>
      </c>
      <c r="HB27" s="406">
        <f>B39</f>
        <v>0.24</v>
      </c>
      <c r="HD27" t="s">
        <v>49</v>
      </c>
      <c r="HE27" s="1">
        <f>0.693/HE28</f>
        <v>2.3099999999999999E-2</v>
      </c>
    </row>
    <row r="28" spans="1:214" ht="15" thickBot="1" x14ac:dyDescent="0.25">
      <c r="A28" t="s">
        <v>447</v>
      </c>
      <c r="B28" s="410">
        <v>4.8099999999999997E-2</v>
      </c>
      <c r="C28" t="s">
        <v>448</v>
      </c>
      <c r="G28" t="s">
        <v>131</v>
      </c>
      <c r="H28">
        <v>0.5</v>
      </c>
      <c r="I28" t="s">
        <v>132</v>
      </c>
      <c r="J28" t="s">
        <v>372</v>
      </c>
      <c r="K28" s="427">
        <f>(K31*K35*K29*K53)+(K32*K34*K30*K54)</f>
        <v>8513.0769230769238</v>
      </c>
      <c r="L28" t="s">
        <v>213</v>
      </c>
      <c r="M28" t="s">
        <v>462</v>
      </c>
      <c r="N28">
        <v>0.4</v>
      </c>
      <c r="P28" t="s">
        <v>462</v>
      </c>
      <c r="Q28">
        <v>0.4</v>
      </c>
      <c r="V28" t="s">
        <v>411</v>
      </c>
      <c r="W28" s="1">
        <f>B29</f>
        <v>30</v>
      </c>
      <c r="X28" t="s">
        <v>119</v>
      </c>
      <c r="Y28" t="s">
        <v>411</v>
      </c>
      <c r="Z28" s="1">
        <f>B29</f>
        <v>30</v>
      </c>
      <c r="AA28" t="s">
        <v>119</v>
      </c>
      <c r="AB28" t="s">
        <v>155</v>
      </c>
      <c r="AC28" s="1">
        <f t="shared" ref="AC28:AF29" si="0">8/24</f>
        <v>0.33333333333333331</v>
      </c>
      <c r="AD28" s="1">
        <f t="shared" si="0"/>
        <v>0.33333333333333331</v>
      </c>
      <c r="AE28" s="1">
        <f t="shared" si="0"/>
        <v>0.33333333333333331</v>
      </c>
      <c r="AF28" s="1">
        <f t="shared" si="0"/>
        <v>0.33333333333333331</v>
      </c>
      <c r="AG28" s="1">
        <f>8/24</f>
        <v>0.33333333333333331</v>
      </c>
      <c r="AI28" t="s">
        <v>462</v>
      </c>
      <c r="AJ28">
        <v>0.4</v>
      </c>
      <c r="AL28" t="s">
        <v>462</v>
      </c>
      <c r="AM28">
        <v>0.4</v>
      </c>
      <c r="AR28" t="s">
        <v>462</v>
      </c>
      <c r="AS28">
        <v>0.4</v>
      </c>
      <c r="BA28" t="s">
        <v>462</v>
      </c>
      <c r="BB28">
        <v>0.4</v>
      </c>
      <c r="BJ28" t="s">
        <v>377</v>
      </c>
      <c r="BK28">
        <v>5</v>
      </c>
      <c r="BL28" t="s">
        <v>390</v>
      </c>
      <c r="BM28" t="s">
        <v>377</v>
      </c>
      <c r="BN28">
        <v>5</v>
      </c>
      <c r="BO28" t="s">
        <v>390</v>
      </c>
      <c r="BS28" t="s">
        <v>174</v>
      </c>
      <c r="BT28">
        <v>26</v>
      </c>
      <c r="BU28" t="s">
        <v>119</v>
      </c>
      <c r="BW28">
        <f>1/1000</f>
        <v>1E-3</v>
      </c>
      <c r="BX28" t="s">
        <v>154</v>
      </c>
      <c r="BY28" t="s">
        <v>166</v>
      </c>
      <c r="BZ28">
        <v>1</v>
      </c>
      <c r="CA28" t="s">
        <v>80</v>
      </c>
      <c r="CB28" t="s">
        <v>166</v>
      </c>
      <c r="CC28">
        <v>1</v>
      </c>
      <c r="CD28" t="s">
        <v>117</v>
      </c>
      <c r="CE28" t="s">
        <v>166</v>
      </c>
      <c r="CF28">
        <v>1</v>
      </c>
      <c r="CG28" t="s">
        <v>117</v>
      </c>
      <c r="CN28" t="s">
        <v>314</v>
      </c>
      <c r="CO28" s="17">
        <v>1</v>
      </c>
      <c r="CP28" t="s">
        <v>75</v>
      </c>
      <c r="CT28" t="s">
        <v>127</v>
      </c>
      <c r="CU28">
        <f>B49</f>
        <v>100</v>
      </c>
      <c r="CV28" t="s">
        <v>90</v>
      </c>
      <c r="CZ28" t="s">
        <v>123</v>
      </c>
      <c r="DA28">
        <f>B51</f>
        <v>2.5</v>
      </c>
      <c r="DB28" t="s">
        <v>56</v>
      </c>
      <c r="FW28" t="s">
        <v>186</v>
      </c>
      <c r="FX28" s="1">
        <v>30</v>
      </c>
      <c r="HD28" t="s">
        <v>411</v>
      </c>
      <c r="HE28" s="1">
        <f>B29</f>
        <v>30</v>
      </c>
      <c r="HF28" t="s">
        <v>119</v>
      </c>
    </row>
    <row r="29" spans="1:214" ht="15.75" thickTop="1" x14ac:dyDescent="0.2">
      <c r="A29" t="s">
        <v>411</v>
      </c>
      <c r="B29" s="410">
        <v>30</v>
      </c>
      <c r="C29" t="s">
        <v>417</v>
      </c>
      <c r="D29" s="103" t="s">
        <v>3</v>
      </c>
      <c r="E29" s="104"/>
      <c r="F29" s="105" t="s">
        <v>0</v>
      </c>
      <c r="G29" t="s">
        <v>67</v>
      </c>
      <c r="H29">
        <v>350</v>
      </c>
      <c r="I29" t="s">
        <v>52</v>
      </c>
      <c r="J29" t="s">
        <v>370</v>
      </c>
      <c r="K29" s="1">
        <f>B54</f>
        <v>10.4</v>
      </c>
      <c r="L29" t="s">
        <v>380</v>
      </c>
      <c r="M29" t="s">
        <v>463</v>
      </c>
      <c r="N29" s="1">
        <f>B11</f>
        <v>2.6599999999999999E-2</v>
      </c>
      <c r="P29" t="s">
        <v>463</v>
      </c>
      <c r="Q29" s="1">
        <f>B7</f>
        <v>5.0099999999999999E-2</v>
      </c>
      <c r="V29" t="s">
        <v>51</v>
      </c>
      <c r="W29">
        <v>250</v>
      </c>
      <c r="X29" t="s">
        <v>60</v>
      </c>
      <c r="Y29" t="s">
        <v>51</v>
      </c>
      <c r="Z29">
        <f>Z41*Z42</f>
        <v>250</v>
      </c>
      <c r="AA29" t="s">
        <v>60</v>
      </c>
      <c r="AB29" t="s">
        <v>158</v>
      </c>
      <c r="AC29" s="1">
        <f t="shared" si="0"/>
        <v>0.33333333333333331</v>
      </c>
      <c r="AD29" s="1">
        <f t="shared" si="0"/>
        <v>0.33333333333333331</v>
      </c>
      <c r="AE29" s="1">
        <f t="shared" si="0"/>
        <v>0.33333333333333331</v>
      </c>
      <c r="AF29" s="1">
        <f t="shared" si="0"/>
        <v>0.33333333333333331</v>
      </c>
      <c r="AG29" s="1">
        <f>8/24</f>
        <v>0.33333333333333331</v>
      </c>
      <c r="AI29" t="s">
        <v>463</v>
      </c>
      <c r="AJ29" s="1">
        <f>B11</f>
        <v>2.6599999999999999E-2</v>
      </c>
      <c r="AL29" t="s">
        <v>463</v>
      </c>
      <c r="AM29" s="1">
        <f>B7</f>
        <v>5.0099999999999999E-2</v>
      </c>
      <c r="AR29" t="s">
        <v>463</v>
      </c>
      <c r="AS29" s="1">
        <f>B11</f>
        <v>2.6599999999999999E-2</v>
      </c>
      <c r="AU29" t="s">
        <v>463</v>
      </c>
      <c r="AV29" s="1">
        <f>B7</f>
        <v>5.0099999999999999E-2</v>
      </c>
      <c r="BA29" t="s">
        <v>463</v>
      </c>
      <c r="BB29" s="1">
        <f>B11</f>
        <v>2.6599999999999999E-2</v>
      </c>
      <c r="BD29" t="s">
        <v>463</v>
      </c>
      <c r="BE29" s="1">
        <f>B7</f>
        <v>5.0099999999999999E-2</v>
      </c>
      <c r="BJ29" t="s">
        <v>65</v>
      </c>
      <c r="BK29">
        <v>1</v>
      </c>
      <c r="BL29" t="s">
        <v>59</v>
      </c>
      <c r="BM29" t="s">
        <v>65</v>
      </c>
      <c r="BN29">
        <v>1</v>
      </c>
      <c r="BO29" t="s">
        <v>59</v>
      </c>
      <c r="BS29" t="s">
        <v>435</v>
      </c>
      <c r="BT29">
        <f>BT14/BT16</f>
        <v>1</v>
      </c>
      <c r="BU29" s="2"/>
      <c r="BW29">
        <v>1000</v>
      </c>
      <c r="BX29" t="s">
        <v>157</v>
      </c>
      <c r="BY29" t="s">
        <v>238</v>
      </c>
      <c r="BZ29">
        <v>1</v>
      </c>
      <c r="CA29" t="s">
        <v>80</v>
      </c>
      <c r="CB29" t="s">
        <v>460</v>
      </c>
      <c r="CC29" s="1">
        <f>B22</f>
        <v>0.64300000000000002</v>
      </c>
      <c r="CD29" t="s">
        <v>121</v>
      </c>
      <c r="CE29" t="s">
        <v>460</v>
      </c>
      <c r="CF29" s="1">
        <f>B24</f>
        <v>1.82</v>
      </c>
      <c r="CG29" t="s">
        <v>121</v>
      </c>
      <c r="CT29" t="s">
        <v>223</v>
      </c>
      <c r="CU29">
        <f>B45</f>
        <v>10</v>
      </c>
      <c r="CV29" t="s">
        <v>78</v>
      </c>
      <c r="CZ29" t="s">
        <v>223</v>
      </c>
      <c r="DA29">
        <f>B45</f>
        <v>10</v>
      </c>
      <c r="DB29" t="s">
        <v>241</v>
      </c>
      <c r="FW29" t="s">
        <v>296</v>
      </c>
      <c r="FX29" s="1">
        <v>8.1999999999999993</v>
      </c>
      <c r="HD29" t="s">
        <v>156</v>
      </c>
      <c r="HE29">
        <v>0.3</v>
      </c>
    </row>
    <row r="30" spans="1:214" ht="15" x14ac:dyDescent="0.2">
      <c r="A30" t="s">
        <v>148</v>
      </c>
      <c r="B30" s="410">
        <f>PEF!D3</f>
        <v>1359344473.5814338</v>
      </c>
      <c r="D30" s="106" t="s">
        <v>150</v>
      </c>
      <c r="E30" s="107" t="s">
        <v>456</v>
      </c>
      <c r="F30" s="108" t="s">
        <v>22</v>
      </c>
      <c r="G30" t="s">
        <v>73</v>
      </c>
      <c r="H30">
        <v>350</v>
      </c>
      <c r="I30" t="s">
        <v>52</v>
      </c>
      <c r="J30" t="s">
        <v>371</v>
      </c>
      <c r="K30" s="1">
        <f>B55</f>
        <v>28.5</v>
      </c>
      <c r="L30" t="s">
        <v>380</v>
      </c>
      <c r="M30" t="s">
        <v>105</v>
      </c>
      <c r="N30" s="1">
        <f>B12</f>
        <v>0.46500000000000002</v>
      </c>
      <c r="P30" t="s">
        <v>105</v>
      </c>
      <c r="Q30" s="1">
        <f>B8</f>
        <v>0.72599999999999998</v>
      </c>
      <c r="V30" t="s">
        <v>65</v>
      </c>
      <c r="W30">
        <v>1</v>
      </c>
      <c r="X30" t="s">
        <v>59</v>
      </c>
      <c r="Y30" t="s">
        <v>65</v>
      </c>
      <c r="Z30">
        <v>1</v>
      </c>
      <c r="AA30" t="s">
        <v>59</v>
      </c>
      <c r="AB30" t="s">
        <v>161</v>
      </c>
      <c r="AC30">
        <v>0.4</v>
      </c>
      <c r="AD30">
        <v>0.4</v>
      </c>
      <c r="AE30">
        <v>0.4</v>
      </c>
      <c r="AF30">
        <v>0.4</v>
      </c>
      <c r="AG30">
        <v>0.4</v>
      </c>
      <c r="AI30" t="s">
        <v>105</v>
      </c>
      <c r="AJ30" s="1">
        <f>B12</f>
        <v>0.46500000000000002</v>
      </c>
      <c r="AL30" t="s">
        <v>105</v>
      </c>
      <c r="AM30" s="1">
        <f>B8</f>
        <v>0.72599999999999998</v>
      </c>
      <c r="AR30" t="s">
        <v>105</v>
      </c>
      <c r="AS30" s="1">
        <f>B12</f>
        <v>0.46500000000000002</v>
      </c>
      <c r="AU30" t="s">
        <v>105</v>
      </c>
      <c r="AV30" s="1">
        <f>B8</f>
        <v>0.72599999999999998</v>
      </c>
      <c r="BA30" t="s">
        <v>105</v>
      </c>
      <c r="BB30" s="1">
        <f>B12</f>
        <v>0.46500000000000002</v>
      </c>
      <c r="BD30" t="s">
        <v>105</v>
      </c>
      <c r="BE30" s="1">
        <f>B8</f>
        <v>0.72599999999999998</v>
      </c>
      <c r="BS30" t="s">
        <v>434</v>
      </c>
      <c r="BT30">
        <f>BT15/BT16</f>
        <v>1</v>
      </c>
      <c r="BW30">
        <v>1000</v>
      </c>
      <c r="BX30" t="s">
        <v>376</v>
      </c>
      <c r="BY30" t="s">
        <v>239</v>
      </c>
      <c r="BZ30">
        <v>1</v>
      </c>
      <c r="CA30" t="s">
        <v>80</v>
      </c>
      <c r="CT30" t="s">
        <v>224</v>
      </c>
      <c r="CU30">
        <f>B46</f>
        <v>20</v>
      </c>
      <c r="CV30" t="s">
        <v>78</v>
      </c>
      <c r="CZ30" t="s">
        <v>224</v>
      </c>
      <c r="DA30">
        <f>B46</f>
        <v>20</v>
      </c>
      <c r="DB30" t="s">
        <v>241</v>
      </c>
      <c r="FX30">
        <v>1000</v>
      </c>
      <c r="FY30" t="s">
        <v>213</v>
      </c>
      <c r="HD30" t="s">
        <v>159</v>
      </c>
      <c r="HE30" s="1">
        <v>1.5</v>
      </c>
    </row>
    <row r="31" spans="1:214" x14ac:dyDescent="0.2">
      <c r="A31" t="s">
        <v>184</v>
      </c>
      <c r="B31" s="410">
        <f>PEF!G3</f>
        <v>776129.4078035407</v>
      </c>
      <c r="D31" s="106" t="s">
        <v>150</v>
      </c>
      <c r="E31" s="109">
        <f>E38</f>
        <v>2.0842126105284006E-3</v>
      </c>
      <c r="F31" s="110"/>
      <c r="G31" t="s">
        <v>100</v>
      </c>
      <c r="H31">
        <v>1</v>
      </c>
      <c r="I31" t="s">
        <v>119</v>
      </c>
      <c r="J31" t="s">
        <v>67</v>
      </c>
      <c r="K31">
        <v>350</v>
      </c>
      <c r="L31" t="s">
        <v>52</v>
      </c>
      <c r="M31" t="s">
        <v>114</v>
      </c>
      <c r="N31">
        <v>7.2999999999999995E-2</v>
      </c>
      <c r="O31" t="s">
        <v>115</v>
      </c>
      <c r="P31" t="s">
        <v>114</v>
      </c>
      <c r="Q31">
        <v>7.2999999999999995E-2</v>
      </c>
      <c r="R31" t="s">
        <v>115</v>
      </c>
      <c r="V31" t="s">
        <v>436</v>
      </c>
      <c r="W31" s="1">
        <f>B17</f>
        <v>1.7E-5</v>
      </c>
      <c r="X31" t="s">
        <v>72</v>
      </c>
      <c r="Y31" t="s">
        <v>436</v>
      </c>
      <c r="Z31" s="1">
        <f>B17</f>
        <v>1.7E-5</v>
      </c>
      <c r="AA31" t="s">
        <v>72</v>
      </c>
      <c r="AB31" t="s">
        <v>144</v>
      </c>
      <c r="AC31">
        <v>25</v>
      </c>
      <c r="AD31">
        <v>25</v>
      </c>
      <c r="AE31">
        <v>25</v>
      </c>
      <c r="AF31">
        <v>1</v>
      </c>
      <c r="AG31">
        <v>1</v>
      </c>
      <c r="AH31" t="s">
        <v>88</v>
      </c>
      <c r="AI31" t="s">
        <v>114</v>
      </c>
      <c r="AJ31">
        <v>0</v>
      </c>
      <c r="AK31" t="s">
        <v>115</v>
      </c>
      <c r="AL31" t="s">
        <v>114</v>
      </c>
      <c r="AM31">
        <v>0</v>
      </c>
      <c r="AN31" t="s">
        <v>115</v>
      </c>
      <c r="AR31" t="s">
        <v>116</v>
      </c>
      <c r="AS31">
        <f>8/24</f>
        <v>0.33333333333333331</v>
      </c>
      <c r="AT31" t="s">
        <v>117</v>
      </c>
      <c r="AU31" t="s">
        <v>114</v>
      </c>
      <c r="AV31">
        <f>8/24</f>
        <v>0.33333333333333331</v>
      </c>
      <c r="AW31" t="s">
        <v>115</v>
      </c>
      <c r="BA31" t="s">
        <v>116</v>
      </c>
      <c r="BB31">
        <f>8/24</f>
        <v>0.33333333333333331</v>
      </c>
      <c r="BC31" t="s">
        <v>117</v>
      </c>
      <c r="BD31" t="s">
        <v>114</v>
      </c>
      <c r="BE31">
        <f>8/24</f>
        <v>0.33333333333333331</v>
      </c>
      <c r="BF31" t="s">
        <v>115</v>
      </c>
      <c r="BJ31" t="s">
        <v>463</v>
      </c>
      <c r="BK31" s="1">
        <f>B11</f>
        <v>2.6599999999999999E-2</v>
      </c>
      <c r="BM31" t="s">
        <v>463</v>
      </c>
      <c r="BN31" s="1">
        <f>B7</f>
        <v>5.0099999999999999E-2</v>
      </c>
      <c r="BW31">
        <v>365</v>
      </c>
      <c r="BX31" t="s">
        <v>52</v>
      </c>
      <c r="BY31" t="s">
        <v>465</v>
      </c>
      <c r="BZ31" s="1">
        <f>B2</f>
        <v>8.5099999999999995E-2</v>
      </c>
      <c r="CT31" t="s">
        <v>67</v>
      </c>
      <c r="CU31">
        <v>350</v>
      </c>
      <c r="CV31" t="s">
        <v>52</v>
      </c>
      <c r="CZ31" t="s">
        <v>242</v>
      </c>
      <c r="DA31" s="1">
        <f>B52</f>
        <v>14.8</v>
      </c>
      <c r="DB31" t="s">
        <v>380</v>
      </c>
      <c r="HD31" t="s">
        <v>58</v>
      </c>
      <c r="HE31">
        <v>26</v>
      </c>
    </row>
    <row r="32" spans="1:214" ht="13.5" thickBot="1" x14ac:dyDescent="0.25">
      <c r="A32" t="s">
        <v>185</v>
      </c>
      <c r="B32" s="410">
        <f>PEF!J3</f>
        <v>69557565.807898715</v>
      </c>
      <c r="D32" s="111"/>
      <c r="E32" s="112" t="s">
        <v>33</v>
      </c>
      <c r="F32" s="113"/>
      <c r="G32" t="s">
        <v>83</v>
      </c>
      <c r="H32">
        <v>1</v>
      </c>
      <c r="J32" t="s">
        <v>73</v>
      </c>
      <c r="K32">
        <v>350</v>
      </c>
      <c r="L32" t="s">
        <v>52</v>
      </c>
      <c r="M32" t="s">
        <v>460</v>
      </c>
      <c r="N32" s="1">
        <f>B22</f>
        <v>0.64300000000000002</v>
      </c>
      <c r="O32" t="s">
        <v>121</v>
      </c>
      <c r="P32" t="s">
        <v>460</v>
      </c>
      <c r="Q32" s="1">
        <f>B24</f>
        <v>1.82</v>
      </c>
      <c r="R32" t="s">
        <v>121</v>
      </c>
      <c r="V32" t="s">
        <v>79</v>
      </c>
      <c r="W32">
        <v>8</v>
      </c>
      <c r="X32" t="s">
        <v>80</v>
      </c>
      <c r="Y32" t="s">
        <v>79</v>
      </c>
      <c r="Z32">
        <v>8</v>
      </c>
      <c r="AA32" t="s">
        <v>80</v>
      </c>
      <c r="AB32" t="s">
        <v>49</v>
      </c>
      <c r="AC32" s="1">
        <f>0.693/AC33</f>
        <v>2.3099999999999999E-2</v>
      </c>
      <c r="AD32" s="1">
        <f>0.693/AD33</f>
        <v>2.3099999999999999E-2</v>
      </c>
      <c r="AE32" s="1">
        <f>0.693/AE33</f>
        <v>2.3099999999999999E-2</v>
      </c>
      <c r="AF32" s="1">
        <f>0.693/AF33</f>
        <v>2.3099999999999999E-2</v>
      </c>
      <c r="AG32" s="1">
        <f>0.693/AG33</f>
        <v>2.3099999999999999E-2</v>
      </c>
      <c r="AI32" t="s">
        <v>460</v>
      </c>
      <c r="AJ32" s="1">
        <f>B22</f>
        <v>0.64300000000000002</v>
      </c>
      <c r="AK32" t="s">
        <v>121</v>
      </c>
      <c r="AL32" t="s">
        <v>460</v>
      </c>
      <c r="AM32" s="1">
        <f>B24</f>
        <v>1.82</v>
      </c>
      <c r="AN32" t="s">
        <v>121</v>
      </c>
      <c r="AR32" t="s">
        <v>460</v>
      </c>
      <c r="AS32" s="1">
        <f>B22</f>
        <v>0.64300000000000002</v>
      </c>
      <c r="AT32" t="s">
        <v>121</v>
      </c>
      <c r="AU32" t="s">
        <v>460</v>
      </c>
      <c r="AV32" s="1">
        <f>B24</f>
        <v>1.82</v>
      </c>
      <c r="AW32" t="s">
        <v>121</v>
      </c>
      <c r="BA32" t="s">
        <v>460</v>
      </c>
      <c r="BB32" s="1">
        <f>B22</f>
        <v>0.64300000000000002</v>
      </c>
      <c r="BC32" t="s">
        <v>121</v>
      </c>
      <c r="BD32" t="s">
        <v>460</v>
      </c>
      <c r="BE32" s="1">
        <f>B24</f>
        <v>1.82</v>
      </c>
      <c r="BF32" t="s">
        <v>121</v>
      </c>
      <c r="BJ32" t="s">
        <v>105</v>
      </c>
      <c r="BK32" s="1">
        <f>B12</f>
        <v>0.46500000000000002</v>
      </c>
      <c r="BM32" t="s">
        <v>105</v>
      </c>
      <c r="BN32" s="1">
        <f>B8</f>
        <v>0.72599999999999998</v>
      </c>
      <c r="BT32" s="1"/>
      <c r="BW32">
        <v>8760</v>
      </c>
      <c r="BX32" t="s">
        <v>237</v>
      </c>
      <c r="BY32" t="s">
        <v>105</v>
      </c>
      <c r="BZ32" s="1">
        <f>B3</f>
        <v>0.74199999999999999</v>
      </c>
      <c r="CT32" t="s">
        <v>73</v>
      </c>
      <c r="CU32">
        <v>350</v>
      </c>
      <c r="CV32" t="s">
        <v>52</v>
      </c>
      <c r="CZ32" t="s">
        <v>162</v>
      </c>
      <c r="DA32" s="1">
        <f>B53</f>
        <v>56.2</v>
      </c>
      <c r="DB32" t="s">
        <v>380</v>
      </c>
      <c r="DY32" s="413"/>
      <c r="HD32" t="s">
        <v>65</v>
      </c>
      <c r="HE32" s="1">
        <v>70</v>
      </c>
    </row>
    <row r="33" spans="1:214" ht="13.15" customHeight="1" thickTop="1" x14ac:dyDescent="0.2">
      <c r="A33" t="s">
        <v>411</v>
      </c>
      <c r="B33" s="410">
        <v>11000</v>
      </c>
      <c r="C33" t="s">
        <v>381</v>
      </c>
      <c r="D33" t="s">
        <v>485</v>
      </c>
      <c r="E33" s="1">
        <v>1</v>
      </c>
      <c r="G33" t="s">
        <v>98</v>
      </c>
      <c r="H33">
        <v>1</v>
      </c>
      <c r="J33" t="s">
        <v>100</v>
      </c>
      <c r="K33">
        <v>1</v>
      </c>
      <c r="L33" t="s">
        <v>119</v>
      </c>
      <c r="M33" t="s">
        <v>136</v>
      </c>
      <c r="N33">
        <v>0.68300000000000005</v>
      </c>
      <c r="O33" t="s">
        <v>115</v>
      </c>
      <c r="P33" t="s">
        <v>136</v>
      </c>
      <c r="Q33">
        <v>0.68300000000000005</v>
      </c>
      <c r="R33" t="s">
        <v>115</v>
      </c>
      <c r="W33">
        <v>24</v>
      </c>
      <c r="X33" t="s">
        <v>80</v>
      </c>
      <c r="Z33">
        <v>24</v>
      </c>
      <c r="AA33" t="s">
        <v>80</v>
      </c>
      <c r="AB33" t="s">
        <v>411</v>
      </c>
      <c r="AC33" s="1">
        <f>B29</f>
        <v>30</v>
      </c>
      <c r="AD33" s="1">
        <f>B29</f>
        <v>30</v>
      </c>
      <c r="AE33" s="1">
        <f>B29</f>
        <v>30</v>
      </c>
      <c r="AF33" s="1">
        <f>B29</f>
        <v>30</v>
      </c>
      <c r="AG33" s="1">
        <f>B29</f>
        <v>30</v>
      </c>
      <c r="AH33" t="s">
        <v>119</v>
      </c>
      <c r="AI33" t="s">
        <v>136</v>
      </c>
      <c r="AJ33">
        <f>8/24</f>
        <v>0.33333333333333331</v>
      </c>
      <c r="AK33" t="s">
        <v>115</v>
      </c>
      <c r="AL33" t="s">
        <v>136</v>
      </c>
      <c r="AM33">
        <f>8/24</f>
        <v>0.33333333333333331</v>
      </c>
      <c r="AN33" t="s">
        <v>115</v>
      </c>
      <c r="AR33" t="s">
        <v>136</v>
      </c>
      <c r="AS33">
        <v>0</v>
      </c>
      <c r="AT33" t="s">
        <v>115</v>
      </c>
      <c r="AU33" t="s">
        <v>136</v>
      </c>
      <c r="AV33">
        <v>0</v>
      </c>
      <c r="AW33" t="s">
        <v>115</v>
      </c>
      <c r="BA33" t="s">
        <v>136</v>
      </c>
      <c r="BB33">
        <v>0</v>
      </c>
      <c r="BC33" t="s">
        <v>115</v>
      </c>
      <c r="BD33" t="s">
        <v>136</v>
      </c>
      <c r="BE33">
        <v>0</v>
      </c>
      <c r="BF33" t="s">
        <v>115</v>
      </c>
      <c r="BJ33" t="s">
        <v>116</v>
      </c>
      <c r="BK33">
        <f>8/24</f>
        <v>0.33333333333333331</v>
      </c>
      <c r="BL33" t="s">
        <v>117</v>
      </c>
      <c r="BM33" t="s">
        <v>114</v>
      </c>
      <c r="BN33">
        <f>8/24</f>
        <v>0.33333333333333331</v>
      </c>
      <c r="BO33" t="s">
        <v>115</v>
      </c>
      <c r="BV33" t="s">
        <v>435</v>
      </c>
      <c r="BW33">
        <f>BW21/BW20</f>
        <v>1</v>
      </c>
      <c r="BY33" t="s">
        <v>174</v>
      </c>
      <c r="BZ33">
        <v>26</v>
      </c>
      <c r="CA33" t="s">
        <v>88</v>
      </c>
      <c r="CT33" t="s">
        <v>229</v>
      </c>
      <c r="CU33">
        <v>1</v>
      </c>
      <c r="CV33" t="s">
        <v>119</v>
      </c>
      <c r="CZ33" t="s">
        <v>243</v>
      </c>
      <c r="DA33" s="1">
        <f>B54</f>
        <v>10.4</v>
      </c>
      <c r="DB33" t="s">
        <v>380</v>
      </c>
      <c r="DY33" s="413"/>
      <c r="HD33" t="s">
        <v>391</v>
      </c>
      <c r="HE33" s="1">
        <f>1+((HE35*HE36*HE37)/(HE38*HE39))</f>
        <v>16.660043458695149</v>
      </c>
    </row>
    <row r="34" spans="1:214" ht="13.15" customHeight="1" x14ac:dyDescent="0.2">
      <c r="A34" t="s">
        <v>186</v>
      </c>
      <c r="B34" s="410">
        <v>2000</v>
      </c>
      <c r="C34" t="s">
        <v>45</v>
      </c>
      <c r="D34" t="s">
        <v>51</v>
      </c>
      <c r="E34">
        <v>350</v>
      </c>
      <c r="F34" t="s">
        <v>52</v>
      </c>
      <c r="G34" t="s">
        <v>163</v>
      </c>
      <c r="H34">
        <v>0.54</v>
      </c>
      <c r="I34" t="s">
        <v>164</v>
      </c>
      <c r="J34" t="s">
        <v>98</v>
      </c>
      <c r="K34">
        <v>1</v>
      </c>
      <c r="L34" t="s">
        <v>119</v>
      </c>
      <c r="V34" t="s">
        <v>96</v>
      </c>
      <c r="W34">
        <f>B47</f>
        <v>60</v>
      </c>
      <c r="X34" t="s">
        <v>78</v>
      </c>
      <c r="Y34" t="s">
        <v>96</v>
      </c>
      <c r="Z34">
        <f>B47</f>
        <v>60</v>
      </c>
      <c r="AA34" t="s">
        <v>78</v>
      </c>
      <c r="AC34">
        <v>365</v>
      </c>
      <c r="AD34">
        <v>365</v>
      </c>
      <c r="AE34">
        <v>365</v>
      </c>
      <c r="AF34">
        <v>365</v>
      </c>
      <c r="AG34">
        <v>365</v>
      </c>
      <c r="AH34" t="s">
        <v>173</v>
      </c>
      <c r="BJ34" t="s">
        <v>460</v>
      </c>
      <c r="BK34" s="1">
        <f>B22</f>
        <v>0.64300000000000002</v>
      </c>
      <c r="BL34" t="s">
        <v>121</v>
      </c>
      <c r="BM34" t="s">
        <v>460</v>
      </c>
      <c r="BN34" s="1">
        <f>B24</f>
        <v>1.82</v>
      </c>
      <c r="BO34" t="s">
        <v>121</v>
      </c>
      <c r="BV34" t="s">
        <v>434</v>
      </c>
      <c r="BW34">
        <f>BW22/BW20</f>
        <v>1</v>
      </c>
      <c r="BZ34">
        <v>365</v>
      </c>
      <c r="CA34" t="s">
        <v>173</v>
      </c>
      <c r="CH34" s="429" t="s">
        <v>393</v>
      </c>
      <c r="CI34" s="429"/>
      <c r="CJ34" s="429"/>
      <c r="CK34" s="429"/>
      <c r="CL34" s="429"/>
      <c r="CT34" t="s">
        <v>98</v>
      </c>
      <c r="CU34">
        <v>1</v>
      </c>
      <c r="CV34" t="s">
        <v>119</v>
      </c>
      <c r="CZ34" t="s">
        <v>244</v>
      </c>
      <c r="DA34" s="1">
        <f>B55</f>
        <v>28.5</v>
      </c>
      <c r="DB34" t="s">
        <v>380</v>
      </c>
      <c r="DS34" s="1"/>
      <c r="DY34" s="413"/>
      <c r="EH34" s="1"/>
      <c r="HD34" t="s">
        <v>167</v>
      </c>
      <c r="HE34">
        <v>8.1999999999999993</v>
      </c>
    </row>
    <row r="35" spans="1:214" ht="13.15" customHeight="1" x14ac:dyDescent="0.2">
      <c r="A35" t="s">
        <v>421</v>
      </c>
      <c r="B35" s="410">
        <v>8.0000000000000002E-3</v>
      </c>
      <c r="D35" t="s">
        <v>447</v>
      </c>
      <c r="E35" s="1">
        <f>B28</f>
        <v>4.8099999999999997E-2</v>
      </c>
      <c r="F35" t="s">
        <v>160</v>
      </c>
      <c r="G35" t="s">
        <v>165</v>
      </c>
      <c r="H35">
        <v>0.71</v>
      </c>
      <c r="I35" t="s">
        <v>164</v>
      </c>
      <c r="J35" t="s">
        <v>83</v>
      </c>
      <c r="K35">
        <v>1</v>
      </c>
      <c r="L35" t="s">
        <v>119</v>
      </c>
      <c r="M35" s="407"/>
      <c r="N35" s="407"/>
      <c r="O35" s="407"/>
      <c r="P35" s="407"/>
      <c r="Q35" s="407"/>
      <c r="R35" s="407"/>
      <c r="V35" t="s">
        <v>445</v>
      </c>
      <c r="W35" s="1">
        <f>B26</f>
        <v>2.3899999999999998E-9</v>
      </c>
      <c r="X35" t="s">
        <v>107</v>
      </c>
      <c r="Y35" t="s">
        <v>445</v>
      </c>
      <c r="Z35" s="1">
        <f>B26</f>
        <v>2.3899999999999998E-9</v>
      </c>
      <c r="AA35" t="s">
        <v>107</v>
      </c>
      <c r="AB35" t="s">
        <v>37</v>
      </c>
      <c r="AC35">
        <f>(AC31*AC32)/(1-EXP(-AC32*AC31))</f>
        <v>1.3163889228973786</v>
      </c>
      <c r="AD35">
        <f>(AD31*AD32)/(1-EXP(-AD32*AD31))</f>
        <v>1.3163889228973786</v>
      </c>
      <c r="AE35">
        <f>(AE31*AE32)/(1-EXP(-AE32*AE31))</f>
        <v>1.3163889228973786</v>
      </c>
      <c r="AF35">
        <f>(AF31*AF32)/(1-EXP(-AF32*AF31))</f>
        <v>1.0115944671045347</v>
      </c>
      <c r="AG35">
        <f>(AG31*AG32)/(1-EXP(-AG32*AG31))</f>
        <v>1.0115944671045347</v>
      </c>
      <c r="BT35" s="1"/>
      <c r="BZ35">
        <v>1000</v>
      </c>
      <c r="CA35" t="s">
        <v>179</v>
      </c>
      <c r="CH35" s="429"/>
      <c r="CI35" s="429"/>
      <c r="CJ35" s="429"/>
      <c r="CK35" s="429"/>
      <c r="CL35" s="429"/>
      <c r="CT35" t="s">
        <v>83</v>
      </c>
      <c r="CU35">
        <v>1</v>
      </c>
      <c r="CV35" t="s">
        <v>119</v>
      </c>
      <c r="CZ35" t="s">
        <v>246</v>
      </c>
      <c r="DA35">
        <v>350</v>
      </c>
      <c r="DB35" t="s">
        <v>245</v>
      </c>
      <c r="DS35" s="1"/>
      <c r="DY35" s="413"/>
      <c r="EH35" s="1"/>
      <c r="HD35" t="s">
        <v>131</v>
      </c>
      <c r="HE35" s="4">
        <v>5</v>
      </c>
      <c r="HF35" t="s">
        <v>170</v>
      </c>
    </row>
    <row r="36" spans="1:214" ht="13.15" customHeight="1" x14ac:dyDescent="0.2">
      <c r="A36" t="s">
        <v>418</v>
      </c>
      <c r="B36" s="410">
        <v>0.03</v>
      </c>
      <c r="D36" t="s">
        <v>65</v>
      </c>
      <c r="E36">
        <v>1</v>
      </c>
      <c r="F36" t="s">
        <v>119</v>
      </c>
      <c r="G36" t="s">
        <v>168</v>
      </c>
      <c r="H36">
        <v>24</v>
      </c>
      <c r="I36" t="s">
        <v>80</v>
      </c>
      <c r="J36" t="s">
        <v>238</v>
      </c>
      <c r="K36">
        <v>24</v>
      </c>
      <c r="L36" t="s">
        <v>80</v>
      </c>
      <c r="M36" s="407"/>
      <c r="N36" s="407"/>
      <c r="O36" s="407"/>
      <c r="P36" s="407"/>
      <c r="Q36" s="407"/>
      <c r="R36" s="407"/>
      <c r="V36" t="s">
        <v>464</v>
      </c>
      <c r="W36" s="1">
        <f>B2</f>
        <v>8.5099999999999995E-2</v>
      </c>
      <c r="Y36" t="s">
        <v>464</v>
      </c>
      <c r="Z36" s="1">
        <f>B2</f>
        <v>8.5099999999999995E-2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 t="s">
        <v>179</v>
      </c>
      <c r="BK36" s="429" t="s">
        <v>405</v>
      </c>
      <c r="BL36" s="429"/>
      <c r="BM36" s="429"/>
      <c r="BN36" s="429"/>
      <c r="BO36" s="429"/>
      <c r="BZ36">
        <v>1000</v>
      </c>
      <c r="CA36" t="s">
        <v>50</v>
      </c>
      <c r="CH36" s="429"/>
      <c r="CI36" s="429"/>
      <c r="CJ36" s="429"/>
      <c r="CK36" s="429"/>
      <c r="CL36" s="429"/>
      <c r="CT36" t="s">
        <v>382</v>
      </c>
      <c r="CU36">
        <v>24</v>
      </c>
      <c r="CV36" t="s">
        <v>80</v>
      </c>
      <c r="CZ36" t="s">
        <v>247</v>
      </c>
      <c r="DA36">
        <v>350</v>
      </c>
      <c r="DB36" t="s">
        <v>245</v>
      </c>
      <c r="DS36" s="1"/>
      <c r="DY36" s="414"/>
      <c r="EH36" s="1"/>
      <c r="HD36" t="s">
        <v>171</v>
      </c>
      <c r="HE36" s="4">
        <v>5</v>
      </c>
      <c r="HF36" t="s">
        <v>172</v>
      </c>
    </row>
    <row r="37" spans="1:214" x14ac:dyDescent="0.2">
      <c r="A37" t="s">
        <v>419</v>
      </c>
      <c r="B37" s="410">
        <v>10</v>
      </c>
      <c r="D37" t="s">
        <v>162</v>
      </c>
      <c r="E37">
        <f>B55</f>
        <v>28.5</v>
      </c>
      <c r="F37" t="s">
        <v>90</v>
      </c>
      <c r="G37" t="s">
        <v>168</v>
      </c>
      <c r="H37">
        <v>24</v>
      </c>
      <c r="I37" t="s">
        <v>80</v>
      </c>
      <c r="J37" t="s">
        <v>239</v>
      </c>
      <c r="K37">
        <v>24</v>
      </c>
      <c r="L37" t="s">
        <v>80</v>
      </c>
      <c r="V37" t="s">
        <v>452</v>
      </c>
      <c r="W37" s="1">
        <f>W26/((W32/W33)*W29*W30*W31*W34)</f>
        <v>11.764705882352942</v>
      </c>
      <c r="X37" t="s">
        <v>36</v>
      </c>
      <c r="Y37" t="s">
        <v>452</v>
      </c>
      <c r="Z37" s="1">
        <f>(Z26*Z30*Z27)/((1-EXP(-Z27))*Z30*Z31*Z29*Z43*(Z32/Z33)*Z34)</f>
        <v>11.901111377700412</v>
      </c>
      <c r="AA37" t="s">
        <v>37</v>
      </c>
      <c r="AB37" t="s">
        <v>451</v>
      </c>
      <c r="AC37" s="1">
        <f>(AC5/(AC9*AC16*AC8*AC11*(1/AC6)))*AC35</f>
        <v>1.094710122991583</v>
      </c>
      <c r="AD37" s="1">
        <f>(AD5/(AD9*AD16*AD8*AD11*(1/AD6)))*AD35</f>
        <v>2.189420245983166</v>
      </c>
      <c r="AE37" s="1">
        <f>(AE5/(AE9*AE16*AE8*AE11*(1/AE6)))*AE35</f>
        <v>1.216344581101759</v>
      </c>
      <c r="AF37" s="1">
        <f>(AF5/(AF9*AF16*AF8*AF11*(1/AF6)))*AF35</f>
        <v>0.25492206063240336</v>
      </c>
      <c r="AG37" s="1">
        <f>(AG5/(AG9*AG16*AG8*AG11*(1/AG6)))*AG35</f>
        <v>0.25492206063240336</v>
      </c>
      <c r="BK37" s="429"/>
      <c r="BL37" s="429"/>
      <c r="BM37" s="429"/>
      <c r="BN37" s="429"/>
      <c r="BO37" s="429"/>
      <c r="BY37" t="s">
        <v>435</v>
      </c>
      <c r="BZ37">
        <f>BZ27/BZ25</f>
        <v>1</v>
      </c>
      <c r="CH37" s="429"/>
      <c r="CI37" s="429"/>
      <c r="CJ37" s="429"/>
      <c r="CK37" s="429"/>
      <c r="CL37" s="429"/>
      <c r="CT37" t="s">
        <v>239</v>
      </c>
      <c r="CU37">
        <v>24</v>
      </c>
      <c r="CV37" t="s">
        <v>80</v>
      </c>
      <c r="CZ37" t="s">
        <v>227</v>
      </c>
      <c r="DA37">
        <v>1</v>
      </c>
      <c r="DB37" t="s">
        <v>119</v>
      </c>
      <c r="DS37" s="1"/>
      <c r="DY37" s="413"/>
      <c r="EH37" s="1"/>
      <c r="HD37" t="s">
        <v>175</v>
      </c>
      <c r="HE37" s="4">
        <f>(0.0112*HE39*HE39)^0.5+HE40*(1-EXP((-HE38*HE39)/(HE35*HE36*HE40)))</f>
        <v>6.2013772096432787</v>
      </c>
      <c r="HF37" t="s">
        <v>176</v>
      </c>
    </row>
    <row r="38" spans="1:214" x14ac:dyDescent="0.2">
      <c r="A38" t="s">
        <v>319</v>
      </c>
      <c r="B38" s="410">
        <v>0.4</v>
      </c>
      <c r="D38" t="s">
        <v>451</v>
      </c>
      <c r="E38" s="1">
        <f>E33/(E35*E34*E36*E37)</f>
        <v>2.0842126105284006E-3</v>
      </c>
      <c r="F38" t="s">
        <v>22</v>
      </c>
      <c r="G38" t="s">
        <v>151</v>
      </c>
      <c r="H38">
        <v>1</v>
      </c>
      <c r="I38" t="s">
        <v>152</v>
      </c>
      <c r="J38" t="s">
        <v>369</v>
      </c>
      <c r="K38">
        <v>0.25</v>
      </c>
      <c r="V38" t="s">
        <v>477</v>
      </c>
      <c r="W38" s="1">
        <f>(W26)/((W32/W33)*W29*W30*W35*(1/365))</f>
        <v>1832635983.2635987</v>
      </c>
      <c r="X38" t="s">
        <v>36</v>
      </c>
      <c r="Y38" t="s">
        <v>477</v>
      </c>
      <c r="Z38" s="1">
        <f>(Z26*Z30*Z27)/((1-EXP(-Z27*Z30))*Z35*Z29*Z43*(Z32/Z33)*Z36*(Z43/Z44))</f>
        <v>21784775803.597355</v>
      </c>
      <c r="AA38" t="s">
        <v>37</v>
      </c>
      <c r="AB38" t="s">
        <v>452</v>
      </c>
      <c r="AC38" s="1">
        <f>(AC5/(AC24*AC20*AC8*AC11*(1/AC40)*((8/1)/(24/1))*AC36))*AC35</f>
        <v>21052070.6755808</v>
      </c>
      <c r="AD38" s="1">
        <f>(AD5/(AD24*AD20*AD8*((8/1)/(24/1))*AD11*(1/AD40)*AD36))*AD35</f>
        <v>21052070.6755808</v>
      </c>
      <c r="AE38" s="1">
        <f>(AE5/(AE24*AE20*AE8*((8/1)/(24/1))*AE11*(1/AE40)*AE36))*AE35</f>
        <v>23391189.63953422</v>
      </c>
      <c r="AF38" s="1">
        <f>(AF5/(AF24*AF20*AF8*AF11*(1/AF41)*AF28*AF19*AF36))*AF35</f>
        <v>108540.5702206651</v>
      </c>
      <c r="AG38" s="1">
        <v>432</v>
      </c>
      <c r="BK38" s="429"/>
      <c r="BL38" s="429"/>
      <c r="BM38" s="429"/>
      <c r="BN38" s="429"/>
      <c r="BO38" s="429"/>
      <c r="BY38" t="s">
        <v>434</v>
      </c>
      <c r="BZ38">
        <f>BZ26/BZ25</f>
        <v>1</v>
      </c>
      <c r="CT38" t="s">
        <v>383</v>
      </c>
      <c r="CU38">
        <v>1</v>
      </c>
      <c r="CZ38" t="s">
        <v>228</v>
      </c>
      <c r="DA38">
        <v>1</v>
      </c>
      <c r="DB38" t="s">
        <v>119</v>
      </c>
      <c r="DY38" s="413"/>
      <c r="HD38" t="s">
        <v>178</v>
      </c>
      <c r="HE38" s="4">
        <v>0.18</v>
      </c>
      <c r="HF38" t="s">
        <v>170</v>
      </c>
    </row>
    <row r="39" spans="1:214" ht="13.5" thickBot="1" x14ac:dyDescent="0.25">
      <c r="A39" t="s">
        <v>420</v>
      </c>
      <c r="B39" s="410">
        <v>0.24</v>
      </c>
      <c r="G39" t="s">
        <v>153</v>
      </c>
      <c r="H39">
        <v>1</v>
      </c>
      <c r="I39" t="s">
        <v>152</v>
      </c>
      <c r="J39" t="s">
        <v>155</v>
      </c>
      <c r="K39">
        <v>1.752</v>
      </c>
      <c r="L39" t="s">
        <v>117</v>
      </c>
      <c r="V39" t="s">
        <v>452</v>
      </c>
      <c r="W39" s="1">
        <f>(W26*W27*W30)/((W32/W33)*(1-EXP(-W27*W30))*W31*W34*W29*W30)</f>
        <v>11.901111377700412</v>
      </c>
      <c r="X39" t="s">
        <v>37</v>
      </c>
      <c r="Y39" t="s">
        <v>452</v>
      </c>
      <c r="Z39" s="1">
        <f>Z26/((Z31*Z29*Z43*(Z32/Z33)*Z34))</f>
        <v>11.76470588235294</v>
      </c>
      <c r="AA39" t="s">
        <v>36</v>
      </c>
      <c r="AB39" t="s">
        <v>453</v>
      </c>
      <c r="AC39" s="1">
        <f>(AC5/(AC23*AC22*AC29*AC19*AC8*(1/AC34)*AC11))*AC35</f>
        <v>28.624254279596027</v>
      </c>
      <c r="AD39" s="1">
        <f>(AD5/(AD23*AD22*AD29*AD21*AD8*(1/AD34)*AD11))*AD35</f>
        <v>6.0898100979840555</v>
      </c>
      <c r="AE39" s="1">
        <f>(AE5/(AE23*AE22*AE29*AE19*AE8*(1/AE34)*AE11))*AE35</f>
        <v>31.804726977328922</v>
      </c>
      <c r="AF39" s="1">
        <f>(AF5/(AF23*AF22*(AF28+AF29*AF21)*AF8*(1/AF34)*AF11))*AF35</f>
        <v>1.3370816597876565</v>
      </c>
      <c r="AG39" s="1">
        <f>(AG5/(AG24*AG20*AG8*AG11*(1/AG42)*(AG28+(AG29*AG30))*AG36))*AG35</f>
        <v>591294.52702966309</v>
      </c>
      <c r="BK39" s="429"/>
      <c r="BL39" s="429"/>
      <c r="BM39" s="429"/>
      <c r="BN39" s="429"/>
      <c r="BO39" s="429"/>
      <c r="BT39" s="7"/>
      <c r="BU39" s="2"/>
      <c r="CT39" t="s">
        <v>155</v>
      </c>
      <c r="CU39">
        <v>12.167999999999999</v>
      </c>
      <c r="CV39" t="s">
        <v>117</v>
      </c>
      <c r="CZ39" t="s">
        <v>229</v>
      </c>
      <c r="DA39">
        <v>1</v>
      </c>
      <c r="DB39" t="s">
        <v>119</v>
      </c>
      <c r="DY39" s="413"/>
      <c r="HD39" t="s">
        <v>180</v>
      </c>
      <c r="HE39" s="4">
        <v>55</v>
      </c>
      <c r="HF39" t="s">
        <v>176</v>
      </c>
    </row>
    <row r="40" spans="1:214" ht="15" customHeight="1" thickTop="1" x14ac:dyDescent="0.2">
      <c r="A40" t="s">
        <v>396</v>
      </c>
      <c r="B40" s="410">
        <f>B36</f>
        <v>0.03</v>
      </c>
      <c r="D40" s="104" t="s">
        <v>3</v>
      </c>
      <c r="E40" s="104"/>
      <c r="F40" s="105" t="s">
        <v>0</v>
      </c>
      <c r="H40">
        <f>1/1000</f>
        <v>1E-3</v>
      </c>
      <c r="I40" t="s">
        <v>154</v>
      </c>
      <c r="J40" t="s">
        <v>158</v>
      </c>
      <c r="K40">
        <v>16.416</v>
      </c>
      <c r="L40" t="s">
        <v>117</v>
      </c>
      <c r="V40" t="s">
        <v>477</v>
      </c>
      <c r="W40" s="1">
        <f>(W26*W27*W30)/((W32/W33)*(1-EXP(-W27*W30))*W35*W29*W30*(1/365))</f>
        <v>1853884420.8861349</v>
      </c>
      <c r="X40" t="s">
        <v>37</v>
      </c>
      <c r="Y40" t="s">
        <v>477</v>
      </c>
      <c r="Z40" s="1">
        <f>Z26/(Z35*Z29*(1/Z44)*Z43*(Z32/Z33)*Z36)</f>
        <v>21535087934.942402</v>
      </c>
      <c r="AA40" t="s">
        <v>36</v>
      </c>
      <c r="AB40" t="s">
        <v>148</v>
      </c>
      <c r="AC40" s="1">
        <f>B30</f>
        <v>1359344473.5814338</v>
      </c>
      <c r="AD40" s="1">
        <f>B30</f>
        <v>1359344473.5814338</v>
      </c>
      <c r="AE40" s="1">
        <f>B30</f>
        <v>1359344473.5814338</v>
      </c>
      <c r="AG40" s="1">
        <f>(AG5/(AG23*AG22*(AG28+AG29*AG21)*AG8*(1/AG34)*AG11))*AG35</f>
        <v>1.3370816597876565</v>
      </c>
      <c r="BT40" s="7"/>
      <c r="BU40" s="2"/>
      <c r="CT40" t="s">
        <v>158</v>
      </c>
      <c r="CU40">
        <v>10.007999999999999</v>
      </c>
      <c r="CV40" t="s">
        <v>117</v>
      </c>
      <c r="CZ40" t="s">
        <v>409</v>
      </c>
      <c r="DA40">
        <v>24</v>
      </c>
      <c r="DB40" t="s">
        <v>80</v>
      </c>
      <c r="DY40" s="413"/>
      <c r="HD40" t="s">
        <v>181</v>
      </c>
      <c r="HE40" s="4">
        <v>5</v>
      </c>
      <c r="HF40" t="s">
        <v>176</v>
      </c>
    </row>
    <row r="41" spans="1:214" ht="14.25" x14ac:dyDescent="0.2">
      <c r="A41" t="s">
        <v>395</v>
      </c>
      <c r="B41" s="410">
        <f>B37</f>
        <v>10</v>
      </c>
      <c r="D41" s="107" t="s">
        <v>150</v>
      </c>
      <c r="E41" s="107" t="s">
        <v>456</v>
      </c>
      <c r="F41" s="108" t="s">
        <v>24</v>
      </c>
      <c r="H41">
        <v>1000</v>
      </c>
      <c r="I41" t="s">
        <v>157</v>
      </c>
      <c r="J41" t="s">
        <v>161</v>
      </c>
      <c r="K41">
        <v>0.4</v>
      </c>
      <c r="Y41" t="s">
        <v>378</v>
      </c>
      <c r="Z41">
        <v>50</v>
      </c>
      <c r="AA41" t="s">
        <v>194</v>
      </c>
      <c r="AB41" s="5" t="s">
        <v>184</v>
      </c>
      <c r="AF41" s="6">
        <f>B31</f>
        <v>776129.4078035407</v>
      </c>
      <c r="AH41" s="5" t="s">
        <v>149</v>
      </c>
      <c r="BT41" s="1"/>
      <c r="CT41" t="s">
        <v>161</v>
      </c>
      <c r="CU41">
        <v>0.4</v>
      </c>
      <c r="CZ41" t="s">
        <v>410</v>
      </c>
      <c r="DA41">
        <v>24</v>
      </c>
      <c r="DB41" t="s">
        <v>80</v>
      </c>
      <c r="DY41" s="413"/>
      <c r="HD41" t="s">
        <v>182</v>
      </c>
      <c r="HE41" s="4">
        <v>5</v>
      </c>
      <c r="HF41" t="s">
        <v>176</v>
      </c>
    </row>
    <row r="42" spans="1:214" ht="13.9" customHeight="1" x14ac:dyDescent="0.2">
      <c r="A42" t="s">
        <v>63</v>
      </c>
      <c r="B42" s="410">
        <v>0.04</v>
      </c>
      <c r="D42" s="107" t="s">
        <v>177</v>
      </c>
      <c r="E42" s="109">
        <f>E52</f>
        <v>1.0421063052642003E-3</v>
      </c>
      <c r="F42" s="110"/>
      <c r="H42">
        <v>1000</v>
      </c>
      <c r="I42" t="s">
        <v>376</v>
      </c>
      <c r="J42" t="s">
        <v>466</v>
      </c>
      <c r="K42">
        <v>0.4</v>
      </c>
      <c r="Y42" t="s">
        <v>377</v>
      </c>
      <c r="Z42">
        <v>5</v>
      </c>
      <c r="AA42" t="s">
        <v>297</v>
      </c>
      <c r="AB42" s="5" t="s">
        <v>185</v>
      </c>
      <c r="AF42" s="5"/>
      <c r="AG42" s="6">
        <f>B32</f>
        <v>69557565.807898715</v>
      </c>
      <c r="AH42" s="5"/>
      <c r="AI42" s="5"/>
      <c r="AJ42" s="5"/>
      <c r="AK42" s="5"/>
      <c r="CT42" t="s">
        <v>466</v>
      </c>
      <c r="CU42">
        <v>0.4</v>
      </c>
      <c r="CZ42" t="s">
        <v>151</v>
      </c>
      <c r="DA42">
        <v>1</v>
      </c>
      <c r="DB42" t="s">
        <v>248</v>
      </c>
    </row>
    <row r="43" spans="1:214" ht="13.15" customHeight="1" thickBot="1" x14ac:dyDescent="0.25">
      <c r="A43" t="s">
        <v>64</v>
      </c>
      <c r="B43" s="410">
        <v>0.2</v>
      </c>
      <c r="D43" s="419" t="s">
        <v>10</v>
      </c>
      <c r="E43" s="112" t="s">
        <v>33</v>
      </c>
      <c r="F43" s="113"/>
      <c r="G43" t="s">
        <v>369</v>
      </c>
      <c r="H43">
        <v>0.25</v>
      </c>
      <c r="J43" t="s">
        <v>465</v>
      </c>
      <c r="K43" s="1">
        <f>B2</f>
        <v>8.5099999999999995E-2</v>
      </c>
      <c r="Y43" t="s">
        <v>298</v>
      </c>
      <c r="Z43">
        <v>1</v>
      </c>
      <c r="AA43" t="s">
        <v>253</v>
      </c>
      <c r="AF43" s="429" t="s">
        <v>392</v>
      </c>
      <c r="AG43" s="429"/>
      <c r="AH43" s="429"/>
      <c r="AI43" s="5"/>
      <c r="AJ43" s="5"/>
      <c r="AK43" s="5"/>
      <c r="BT43" s="1"/>
      <c r="CT43" t="s">
        <v>465</v>
      </c>
      <c r="CU43" s="1">
        <f>B2</f>
        <v>8.5099999999999995E-2</v>
      </c>
      <c r="CZ43" t="s">
        <v>153</v>
      </c>
      <c r="DA43">
        <v>1</v>
      </c>
      <c r="DB43" t="s">
        <v>248</v>
      </c>
    </row>
    <row r="44" spans="1:214" ht="13.5" thickTop="1" x14ac:dyDescent="0.2">
      <c r="D44" t="s">
        <v>485</v>
      </c>
      <c r="E44" s="1">
        <v>1</v>
      </c>
      <c r="H44">
        <v>365</v>
      </c>
      <c r="I44" t="s">
        <v>52</v>
      </c>
      <c r="J44" t="s">
        <v>105</v>
      </c>
      <c r="K44" s="1">
        <f>B3</f>
        <v>0.74199999999999999</v>
      </c>
      <c r="Z44">
        <v>365</v>
      </c>
      <c r="AA44" t="s">
        <v>145</v>
      </c>
      <c r="AF44" s="429"/>
      <c r="AG44" s="429"/>
      <c r="AH44" s="429"/>
      <c r="CT44" t="s">
        <v>105</v>
      </c>
      <c r="CU44" s="1">
        <f>B3</f>
        <v>0.74199999999999999</v>
      </c>
      <c r="CZ44" t="s">
        <v>249</v>
      </c>
      <c r="DA44">
        <v>0.54</v>
      </c>
      <c r="DB44" t="s">
        <v>251</v>
      </c>
    </row>
    <row r="45" spans="1:214" ht="12.75" customHeight="1" x14ac:dyDescent="0.2">
      <c r="A45" t="s">
        <v>87</v>
      </c>
      <c r="B45" s="411">
        <v>10</v>
      </c>
      <c r="C45" t="s">
        <v>78</v>
      </c>
      <c r="D45" t="s">
        <v>51</v>
      </c>
      <c r="E45">
        <v>350</v>
      </c>
      <c r="F45" t="s">
        <v>52</v>
      </c>
      <c r="H45">
        <v>8760</v>
      </c>
      <c r="I45" t="s">
        <v>237</v>
      </c>
      <c r="J45" t="s">
        <v>169</v>
      </c>
      <c r="K45">
        <v>26</v>
      </c>
      <c r="L45" t="s">
        <v>88</v>
      </c>
      <c r="AB45" s="5"/>
      <c r="AC45" s="5"/>
      <c r="AF45" s="429"/>
      <c r="AG45" s="429"/>
      <c r="AH45" s="429"/>
      <c r="AI45" s="5"/>
      <c r="AJ45" s="5"/>
      <c r="AK45" s="5"/>
      <c r="CT45" t="s">
        <v>299</v>
      </c>
      <c r="CU45">
        <v>40</v>
      </c>
      <c r="CV45" t="s">
        <v>88</v>
      </c>
      <c r="CZ45" t="s">
        <v>250</v>
      </c>
      <c r="DA45">
        <v>0.71</v>
      </c>
      <c r="DB45" t="s">
        <v>251</v>
      </c>
    </row>
    <row r="46" spans="1:214" x14ac:dyDescent="0.2">
      <c r="A46" t="s">
        <v>95</v>
      </c>
      <c r="B46" s="411">
        <v>20</v>
      </c>
      <c r="C46" t="s">
        <v>78</v>
      </c>
      <c r="D46" t="s">
        <v>447</v>
      </c>
      <c r="E46" s="1">
        <f>B28</f>
        <v>4.8099999999999997E-2</v>
      </c>
      <c r="F46" t="s">
        <v>160</v>
      </c>
      <c r="G46" t="s">
        <v>46</v>
      </c>
      <c r="H46">
        <f>H48</f>
        <v>0.03</v>
      </c>
      <c r="K46">
        <v>365</v>
      </c>
      <c r="L46" t="s">
        <v>173</v>
      </c>
      <c r="AB46" s="5"/>
      <c r="AC46" s="9"/>
      <c r="AI46" s="5"/>
      <c r="AJ46" s="5"/>
      <c r="AK46" s="5"/>
      <c r="CU46">
        <v>365</v>
      </c>
      <c r="CV46" t="s">
        <v>173</v>
      </c>
      <c r="DA46">
        <v>365</v>
      </c>
      <c r="DB46" t="s">
        <v>245</v>
      </c>
    </row>
    <row r="47" spans="1:214" ht="15" x14ac:dyDescent="0.2">
      <c r="A47" t="s">
        <v>96</v>
      </c>
      <c r="B47" s="411">
        <v>60</v>
      </c>
      <c r="C47" t="s">
        <v>78</v>
      </c>
      <c r="D47" t="s">
        <v>65</v>
      </c>
      <c r="E47">
        <v>1</v>
      </c>
      <c r="F47" t="s">
        <v>119</v>
      </c>
      <c r="G47" t="s">
        <v>54</v>
      </c>
      <c r="H47">
        <f>H49</f>
        <v>0.26</v>
      </c>
      <c r="K47">
        <v>1000</v>
      </c>
      <c r="L47" t="s">
        <v>179</v>
      </c>
      <c r="W47" s="7"/>
      <c r="X47" s="2"/>
      <c r="Y47" s="2"/>
      <c r="Z47" s="2"/>
      <c r="AA47" s="2"/>
      <c r="AB47" s="5"/>
      <c r="AC47" s="5"/>
      <c r="AD47" s="5"/>
      <c r="AI47" s="5"/>
      <c r="AJ47" s="5"/>
      <c r="AK47" s="5"/>
      <c r="CU47">
        <v>1000</v>
      </c>
      <c r="CV47" t="s">
        <v>179</v>
      </c>
      <c r="CZ47" t="s">
        <v>131</v>
      </c>
      <c r="DA47">
        <v>0.5</v>
      </c>
      <c r="DB47" t="s">
        <v>252</v>
      </c>
    </row>
    <row r="48" spans="1:214" x14ac:dyDescent="0.2">
      <c r="A48" t="s">
        <v>108</v>
      </c>
      <c r="B48" s="411">
        <v>200</v>
      </c>
      <c r="C48" t="s">
        <v>90</v>
      </c>
      <c r="D48" t="s">
        <v>162</v>
      </c>
      <c r="E48">
        <f>B55</f>
        <v>28.5</v>
      </c>
      <c r="F48" t="s">
        <v>90</v>
      </c>
      <c r="G48" t="s">
        <v>63</v>
      </c>
      <c r="H48">
        <f>B40</f>
        <v>0.03</v>
      </c>
      <c r="K48">
        <v>1000</v>
      </c>
      <c r="L48" t="s">
        <v>50</v>
      </c>
      <c r="W48" s="7"/>
      <c r="X48" s="2"/>
      <c r="Y48" s="2"/>
      <c r="Z48" s="2"/>
      <c r="AA48" s="2"/>
      <c r="AB48" s="5"/>
      <c r="AC48" s="5"/>
      <c r="AF48" s="8"/>
      <c r="AG48" s="5"/>
      <c r="AH48" s="5"/>
      <c r="AI48" s="5"/>
      <c r="AJ48" s="5"/>
      <c r="AK48" s="5"/>
      <c r="CU48">
        <v>1000</v>
      </c>
      <c r="CV48" t="s">
        <v>50</v>
      </c>
      <c r="DA48">
        <v>1</v>
      </c>
      <c r="DB48" t="s">
        <v>253</v>
      </c>
    </row>
    <row r="49" spans="1:106" x14ac:dyDescent="0.2">
      <c r="A49" t="s">
        <v>127</v>
      </c>
      <c r="B49" s="411">
        <v>100</v>
      </c>
      <c r="C49" t="s">
        <v>90</v>
      </c>
      <c r="E49">
        <v>1000</v>
      </c>
      <c r="F49" t="s">
        <v>179</v>
      </c>
      <c r="G49" t="s">
        <v>70</v>
      </c>
      <c r="H49">
        <v>0.26</v>
      </c>
      <c r="J49" t="s">
        <v>46</v>
      </c>
      <c r="K49">
        <f>K51</f>
        <v>0.03</v>
      </c>
      <c r="W49" s="1"/>
      <c r="AB49" s="5"/>
      <c r="AC49" s="5"/>
      <c r="AF49" s="8"/>
      <c r="AG49" s="5"/>
      <c r="AH49" s="5"/>
      <c r="AI49" s="5"/>
      <c r="AJ49" s="5"/>
      <c r="AK49" s="5"/>
      <c r="BT49" s="1"/>
      <c r="CT49" t="s">
        <v>433</v>
      </c>
      <c r="CU49" s="1">
        <f>B61</f>
        <v>0.15</v>
      </c>
      <c r="DA49">
        <v>8760</v>
      </c>
      <c r="DB49" t="s">
        <v>237</v>
      </c>
    </row>
    <row r="50" spans="1:106" x14ac:dyDescent="0.2">
      <c r="A50" t="s">
        <v>414</v>
      </c>
      <c r="B50" s="411">
        <v>0.78</v>
      </c>
      <c r="D50" t="s">
        <v>186</v>
      </c>
      <c r="E50">
        <f>B34</f>
        <v>2000</v>
      </c>
      <c r="F50" t="s">
        <v>45</v>
      </c>
      <c r="G50" t="s">
        <v>44</v>
      </c>
      <c r="H50" s="1">
        <f>(H53*H54*H55*((1-EXP(-H56*H57))))/(H58*H56)</f>
        <v>0.78778672032533081</v>
      </c>
      <c r="I50" t="s">
        <v>45</v>
      </c>
      <c r="J50" t="s">
        <v>54</v>
      </c>
      <c r="K50">
        <f>K52</f>
        <v>0.26</v>
      </c>
      <c r="W50" s="1"/>
      <c r="AB50" s="5"/>
      <c r="AC50" s="5"/>
      <c r="AF50" s="8"/>
      <c r="AG50" s="5"/>
      <c r="AH50" s="5"/>
      <c r="AI50" s="5"/>
      <c r="AJ50" s="5"/>
      <c r="AK50" s="5"/>
      <c r="BW50" s="1"/>
      <c r="CT50" t="s">
        <v>432</v>
      </c>
      <c r="CU50" s="1">
        <f>B62</f>
        <v>0.85</v>
      </c>
      <c r="DA50">
        <v>1000</v>
      </c>
      <c r="DB50" t="s">
        <v>179</v>
      </c>
    </row>
    <row r="51" spans="1:106" x14ac:dyDescent="0.2">
      <c r="A51" t="s">
        <v>415</v>
      </c>
      <c r="B51" s="411">
        <v>2.5</v>
      </c>
      <c r="D51" t="s">
        <v>188</v>
      </c>
      <c r="E51">
        <v>1</v>
      </c>
      <c r="F51" t="s">
        <v>189</v>
      </c>
      <c r="G51" t="s">
        <v>53</v>
      </c>
      <c r="H51" s="1">
        <f>(H53*H54*H59*((1-EXP(-H56*H57))))/(H58*H56)</f>
        <v>6.8274849094862002</v>
      </c>
      <c r="I51" t="s">
        <v>45</v>
      </c>
      <c r="J51" t="s">
        <v>63</v>
      </c>
      <c r="K51">
        <f>B40</f>
        <v>0.03</v>
      </c>
      <c r="AB51" s="5"/>
      <c r="AC51" s="5"/>
      <c r="AF51" s="8"/>
      <c r="AG51" s="5"/>
      <c r="BW51" s="1"/>
      <c r="CZ51" t="s">
        <v>433</v>
      </c>
      <c r="DA51" s="1">
        <f>B61</f>
        <v>0.15</v>
      </c>
    </row>
    <row r="52" spans="1:106" x14ac:dyDescent="0.2">
      <c r="A52" t="s">
        <v>374</v>
      </c>
      <c r="B52" s="410">
        <v>14.8</v>
      </c>
      <c r="C52" t="s">
        <v>380</v>
      </c>
      <c r="D52" t="s">
        <v>451</v>
      </c>
      <c r="E52" s="1">
        <f>E44/(E46*E45*E47*E48*E50*E51*(1/E49))</f>
        <v>1.0421063052642003E-3</v>
      </c>
      <c r="G52" t="s">
        <v>62</v>
      </c>
      <c r="H52" s="1">
        <f>(H53*H54*H60*H66*((1-EXP(-H61*H62))))/(H63*H61)</f>
        <v>3.6385326157733249</v>
      </c>
      <c r="I52" t="s">
        <v>45</v>
      </c>
      <c r="J52" t="s">
        <v>70</v>
      </c>
      <c r="K52">
        <v>0.26</v>
      </c>
      <c r="AB52" s="5"/>
      <c r="AC52" s="5"/>
      <c r="AF52" s="8"/>
      <c r="AG52" s="5"/>
      <c r="BW52" s="1"/>
      <c r="CZ52" t="s">
        <v>432</v>
      </c>
      <c r="DA52" s="1">
        <f>B62</f>
        <v>0.85</v>
      </c>
    </row>
    <row r="53" spans="1:106" x14ac:dyDescent="0.2">
      <c r="A53" t="s">
        <v>375</v>
      </c>
      <c r="B53" s="410">
        <v>56.2</v>
      </c>
      <c r="C53" t="s">
        <v>380</v>
      </c>
      <c r="G53" t="s">
        <v>68</v>
      </c>
      <c r="H53">
        <v>3.62</v>
      </c>
      <c r="I53" t="s">
        <v>69</v>
      </c>
      <c r="J53" t="s">
        <v>435</v>
      </c>
      <c r="K53" s="1">
        <f>B59</f>
        <v>0.23076923076923078</v>
      </c>
      <c r="W53" s="1"/>
      <c r="AB53" s="5"/>
      <c r="AC53" s="5"/>
      <c r="AF53" s="8"/>
      <c r="AG53" s="5"/>
    </row>
    <row r="54" spans="1:106" x14ac:dyDescent="0.2">
      <c r="A54" t="s">
        <v>370</v>
      </c>
      <c r="B54" s="410">
        <v>10.4</v>
      </c>
      <c r="C54" t="s">
        <v>380</v>
      </c>
      <c r="G54" t="s">
        <v>74</v>
      </c>
      <c r="H54">
        <v>0.25</v>
      </c>
      <c r="I54" t="s">
        <v>75</v>
      </c>
      <c r="J54" t="s">
        <v>434</v>
      </c>
      <c r="K54" s="1">
        <f>B60</f>
        <v>0.76923076923076927</v>
      </c>
      <c r="AB54" s="5"/>
      <c r="AC54" s="5"/>
      <c r="AF54" s="8"/>
      <c r="AG54" s="5"/>
    </row>
    <row r="55" spans="1:106" x14ac:dyDescent="0.2">
      <c r="A55" t="s">
        <v>371</v>
      </c>
      <c r="B55" s="410">
        <v>28.5</v>
      </c>
      <c r="C55" t="s">
        <v>380</v>
      </c>
      <c r="G55" t="s">
        <v>63</v>
      </c>
      <c r="H55">
        <f>B40</f>
        <v>0.03</v>
      </c>
      <c r="AB55" s="5"/>
      <c r="AC55" s="5"/>
      <c r="AD55" s="5"/>
      <c r="AF55" s="8"/>
      <c r="AG55" s="5"/>
      <c r="AH55" s="5"/>
      <c r="AI55" s="5"/>
      <c r="AJ55" s="5"/>
      <c r="AK55" s="5"/>
    </row>
    <row r="56" spans="1:106" x14ac:dyDescent="0.2">
      <c r="A56" t="s">
        <v>162</v>
      </c>
      <c r="B56" s="411">
        <v>54</v>
      </c>
      <c r="C56" t="s">
        <v>90</v>
      </c>
      <c r="G56" t="s">
        <v>92</v>
      </c>
      <c r="H56">
        <f>H64+H65</f>
        <v>8.9999999999999992E-5</v>
      </c>
      <c r="AB56" s="5"/>
      <c r="AC56" s="5"/>
      <c r="AD56" s="5"/>
      <c r="AF56" s="8"/>
      <c r="AG56" s="5"/>
      <c r="AH56" s="5"/>
      <c r="AI56" s="5"/>
      <c r="AJ56" s="5"/>
      <c r="AK56" s="5"/>
    </row>
    <row r="57" spans="1:106" x14ac:dyDescent="0.2">
      <c r="A57" t="s">
        <v>254</v>
      </c>
      <c r="B57" s="411">
        <v>256</v>
      </c>
      <c r="C57" t="s">
        <v>380</v>
      </c>
      <c r="G57" t="s">
        <v>101</v>
      </c>
      <c r="H57">
        <v>10950</v>
      </c>
      <c r="I57" t="s">
        <v>102</v>
      </c>
      <c r="AB57" s="5"/>
      <c r="AC57" s="5"/>
      <c r="AD57" s="5"/>
      <c r="AF57" s="8"/>
      <c r="AG57" s="5"/>
      <c r="AH57" s="5"/>
      <c r="AI57" s="5"/>
      <c r="AJ57" s="5"/>
      <c r="AK57" s="5"/>
    </row>
    <row r="58" spans="1:106" x14ac:dyDescent="0.2">
      <c r="A58" t="s">
        <v>255</v>
      </c>
      <c r="B58" s="411">
        <v>615</v>
      </c>
      <c r="C58" t="s">
        <v>380</v>
      </c>
      <c r="G58" t="s">
        <v>110</v>
      </c>
      <c r="H58">
        <v>240</v>
      </c>
      <c r="I58" t="s">
        <v>111</v>
      </c>
      <c r="AB58" s="5"/>
      <c r="AC58" s="5"/>
      <c r="AF58" s="8"/>
      <c r="AG58" s="5"/>
      <c r="AH58" s="5"/>
      <c r="AI58" s="5"/>
      <c r="AJ58" s="5"/>
      <c r="AK58" s="5"/>
    </row>
    <row r="59" spans="1:106" x14ac:dyDescent="0.2">
      <c r="A59" t="s">
        <v>435</v>
      </c>
      <c r="B59" s="410">
        <f>6/26</f>
        <v>0.23076923076923078</v>
      </c>
      <c r="G59" t="s">
        <v>120</v>
      </c>
      <c r="H59">
        <v>0.26</v>
      </c>
      <c r="AB59" s="5"/>
      <c r="AC59" s="5"/>
      <c r="AF59" s="5"/>
      <c r="AG59" s="5"/>
      <c r="AH59" s="5"/>
      <c r="AI59" s="5"/>
      <c r="AJ59" s="5"/>
      <c r="AK59" s="5"/>
    </row>
    <row r="60" spans="1:106" x14ac:dyDescent="0.2">
      <c r="A60" t="s">
        <v>434</v>
      </c>
      <c r="B60" s="410">
        <f>20/26</f>
        <v>0.76923076923076927</v>
      </c>
      <c r="G60" t="s">
        <v>125</v>
      </c>
      <c r="H60">
        <v>0.42</v>
      </c>
      <c r="I60" t="s">
        <v>75</v>
      </c>
      <c r="AB60" s="5"/>
      <c r="AC60" s="5"/>
      <c r="AF60" s="5"/>
      <c r="AG60" s="5"/>
      <c r="AH60" s="5"/>
      <c r="AI60" s="5"/>
      <c r="AJ60" s="5"/>
      <c r="AK60" s="5"/>
    </row>
    <row r="61" spans="1:106" x14ac:dyDescent="0.2">
      <c r="A61" t="s">
        <v>433</v>
      </c>
      <c r="B61" s="410">
        <f>6/40</f>
        <v>0.15</v>
      </c>
      <c r="G61" t="s">
        <v>129</v>
      </c>
      <c r="H61">
        <f>H65+(0.693/H67)</f>
        <v>4.9562999999999996E-2</v>
      </c>
      <c r="I61" t="s">
        <v>130</v>
      </c>
      <c r="AB61" s="5"/>
      <c r="AC61" s="5"/>
      <c r="AD61" s="5"/>
      <c r="AF61" s="5"/>
      <c r="AG61" s="5"/>
      <c r="AH61" s="5"/>
      <c r="AI61" s="5"/>
      <c r="AJ61" s="5"/>
      <c r="AK61" s="5"/>
      <c r="DA61" s="1"/>
    </row>
    <row r="62" spans="1:106" x14ac:dyDescent="0.2">
      <c r="A62" t="s">
        <v>432</v>
      </c>
      <c r="B62" s="410">
        <f>34/40</f>
        <v>0.85</v>
      </c>
      <c r="G62" t="s">
        <v>133</v>
      </c>
      <c r="H62">
        <v>60</v>
      </c>
      <c r="I62" t="s">
        <v>102</v>
      </c>
      <c r="AB62" s="5"/>
      <c r="AC62" s="5"/>
      <c r="AD62" s="5"/>
      <c r="AF62" s="8"/>
      <c r="AG62" s="5"/>
      <c r="AH62" s="5"/>
      <c r="AI62" s="5"/>
      <c r="AJ62" s="5"/>
      <c r="AK62" s="5"/>
    </row>
    <row r="63" spans="1:106" x14ac:dyDescent="0.2">
      <c r="G63" t="s">
        <v>135</v>
      </c>
      <c r="H63">
        <v>2</v>
      </c>
      <c r="I63" t="s">
        <v>111</v>
      </c>
      <c r="AB63" s="5"/>
      <c r="AC63" s="5"/>
      <c r="AD63" s="5"/>
      <c r="AF63" s="8"/>
      <c r="AG63" s="5"/>
      <c r="AH63" s="5"/>
      <c r="AI63" s="5"/>
      <c r="AJ63" s="5"/>
      <c r="AK63" s="5"/>
    </row>
    <row r="64" spans="1:106" x14ac:dyDescent="0.2">
      <c r="G64" t="s">
        <v>137</v>
      </c>
      <c r="H64">
        <v>2.6999999999999999E-5</v>
      </c>
      <c r="I64" t="s">
        <v>130</v>
      </c>
      <c r="AB64" s="5"/>
      <c r="AC64" s="5"/>
      <c r="AD64" s="5"/>
      <c r="AF64" s="8"/>
      <c r="AG64" s="5"/>
      <c r="AH64" s="5"/>
      <c r="AI64" s="5"/>
      <c r="AJ64" s="5"/>
      <c r="AK64" s="5"/>
    </row>
    <row r="65" spans="7:105" x14ac:dyDescent="0.2">
      <c r="G65" t="s">
        <v>138</v>
      </c>
      <c r="H65">
        <f>0.693/H69</f>
        <v>6.3E-5</v>
      </c>
      <c r="I65" t="s">
        <v>130</v>
      </c>
      <c r="AB65" s="5"/>
      <c r="AC65" s="5"/>
      <c r="AD65" s="5"/>
      <c r="AF65" s="8"/>
      <c r="AG65" s="5"/>
      <c r="AH65" s="5"/>
      <c r="AI65" s="5"/>
      <c r="AJ65" s="5"/>
      <c r="AK65" s="5"/>
    </row>
    <row r="66" spans="7:105" x14ac:dyDescent="0.2">
      <c r="G66" t="s">
        <v>140</v>
      </c>
      <c r="H66">
        <v>1</v>
      </c>
      <c r="I66" t="s">
        <v>75</v>
      </c>
      <c r="AB66" s="5"/>
      <c r="AC66" s="5"/>
      <c r="AD66" s="5"/>
      <c r="AF66" s="8"/>
      <c r="AG66" s="5"/>
      <c r="AH66" s="5"/>
      <c r="AI66" s="5"/>
      <c r="AJ66" s="5"/>
      <c r="AK66" s="5"/>
      <c r="DA66" s="1"/>
    </row>
    <row r="67" spans="7:105" x14ac:dyDescent="0.2">
      <c r="G67" t="s">
        <v>144</v>
      </c>
      <c r="H67">
        <v>14</v>
      </c>
      <c r="I67" t="s">
        <v>145</v>
      </c>
      <c r="AB67" s="5"/>
      <c r="AC67" s="10"/>
      <c r="AD67" s="5"/>
      <c r="AF67" s="8"/>
      <c r="AG67" s="5"/>
      <c r="AH67" s="5"/>
      <c r="AI67" s="5"/>
      <c r="AJ67" s="5"/>
      <c r="AK67" s="5"/>
    </row>
    <row r="68" spans="7:105" x14ac:dyDescent="0.2">
      <c r="G68" t="s">
        <v>64</v>
      </c>
      <c r="H68">
        <f>B41</f>
        <v>10</v>
      </c>
      <c r="AB68" s="5"/>
      <c r="AC68" s="11"/>
      <c r="AD68" s="5"/>
      <c r="AF68" s="8"/>
      <c r="AG68" s="5"/>
      <c r="AH68" s="5"/>
      <c r="AI68" s="5"/>
      <c r="AJ68" s="5"/>
      <c r="AK68" s="5"/>
    </row>
    <row r="69" spans="7:105" x14ac:dyDescent="0.2">
      <c r="G69" t="s">
        <v>416</v>
      </c>
      <c r="H69" s="1">
        <f>B33</f>
        <v>11000</v>
      </c>
      <c r="I69" t="s">
        <v>381</v>
      </c>
      <c r="AF69" s="12"/>
      <c r="AG69" s="5"/>
      <c r="AH69" s="5"/>
      <c r="AI69" s="5"/>
      <c r="AJ69" s="5"/>
      <c r="AK69" s="5"/>
      <c r="BW69" s="1"/>
    </row>
    <row r="70" spans="7:105" x14ac:dyDescent="0.2">
      <c r="G70" t="s">
        <v>435</v>
      </c>
      <c r="H70" s="1">
        <f>B59</f>
        <v>0.23076923076923078</v>
      </c>
      <c r="AF70" s="8"/>
      <c r="AG70" s="5"/>
      <c r="AH70" s="5"/>
      <c r="AI70" s="5"/>
      <c r="AJ70" s="5"/>
      <c r="AK70" s="5"/>
    </row>
    <row r="71" spans="7:105" x14ac:dyDescent="0.2">
      <c r="G71" t="s">
        <v>434</v>
      </c>
      <c r="H71" s="1">
        <f>B60</f>
        <v>0.76923076923076927</v>
      </c>
      <c r="AF71" s="13"/>
      <c r="AG71" s="5"/>
      <c r="AH71" s="5"/>
      <c r="AI71" s="5"/>
      <c r="AJ71" s="5"/>
      <c r="AK71" s="5"/>
    </row>
    <row r="72" spans="7:105" x14ac:dyDescent="0.2">
      <c r="AF72" s="8"/>
      <c r="AG72" s="5"/>
      <c r="AH72" s="5"/>
      <c r="AI72" s="5"/>
      <c r="AJ72" s="5"/>
      <c r="AK72" s="5"/>
    </row>
    <row r="73" spans="7:105" x14ac:dyDescent="0.2">
      <c r="AF73" s="8"/>
      <c r="AG73" s="5"/>
      <c r="AH73" s="5"/>
      <c r="AI73" s="5"/>
      <c r="AJ73" s="5"/>
      <c r="AK73" s="5"/>
    </row>
    <row r="74" spans="7:105" x14ac:dyDescent="0.2">
      <c r="AF74" s="8"/>
      <c r="AG74" s="5"/>
      <c r="AH74" s="5"/>
      <c r="AI74" s="5"/>
      <c r="AJ74" s="5"/>
      <c r="AK74" s="5"/>
    </row>
    <row r="75" spans="7:105" x14ac:dyDescent="0.2">
      <c r="AF75" s="5"/>
      <c r="AG75" s="5"/>
      <c r="AH75" s="5"/>
      <c r="AI75" s="5"/>
      <c r="AJ75" s="5"/>
      <c r="AK75" s="5"/>
    </row>
    <row r="76" spans="7:105" x14ac:dyDescent="0.2">
      <c r="AF76" s="8"/>
      <c r="AG76" s="5"/>
      <c r="AH76" s="5"/>
      <c r="AI76" s="5"/>
      <c r="AJ76" s="5"/>
      <c r="AK76" s="5"/>
    </row>
    <row r="77" spans="7:105" x14ac:dyDescent="0.2">
      <c r="AF77" s="8"/>
      <c r="AG77" s="5"/>
      <c r="AH77" s="5"/>
      <c r="AI77" s="5"/>
      <c r="AJ77" s="5"/>
      <c r="AK77" s="5"/>
    </row>
    <row r="78" spans="7:105" ht="12.75" customHeight="1" x14ac:dyDescent="0.2">
      <c r="AF78" s="8"/>
      <c r="AG78" s="5"/>
    </row>
    <row r="79" spans="7:105" x14ac:dyDescent="0.2">
      <c r="AF79" s="8"/>
      <c r="AG79" s="5"/>
      <c r="AH79" s="5"/>
      <c r="AI79" s="5"/>
      <c r="AJ79" s="5"/>
      <c r="AK79" s="5"/>
    </row>
    <row r="80" spans="7:105" x14ac:dyDescent="0.2">
      <c r="AF80" s="8"/>
      <c r="AG80" s="5"/>
      <c r="AH80" s="5"/>
      <c r="AI80" s="5"/>
      <c r="AJ80" s="5"/>
      <c r="AK80" s="5"/>
    </row>
    <row r="81" spans="32:37" x14ac:dyDescent="0.2">
      <c r="AF81" s="8"/>
      <c r="AG81" s="5"/>
      <c r="AH81" s="5"/>
      <c r="AI81" s="5"/>
      <c r="AJ81" s="5"/>
      <c r="AK81" s="5"/>
    </row>
    <row r="82" spans="32:37" x14ac:dyDescent="0.2">
      <c r="AF82" s="8"/>
      <c r="AG82" s="5"/>
      <c r="AH82" s="5"/>
      <c r="AI82" s="5"/>
      <c r="AJ82" s="5"/>
      <c r="AK82" s="5"/>
    </row>
    <row r="83" spans="32:37" x14ac:dyDescent="0.2">
      <c r="AF83" s="5"/>
      <c r="AG83" s="5"/>
    </row>
    <row r="84" spans="32:37" x14ac:dyDescent="0.2">
      <c r="AF84" s="5"/>
      <c r="AG84" s="5"/>
      <c r="AH84" s="5"/>
      <c r="AI84" s="5"/>
      <c r="AJ84" s="5"/>
      <c r="AK84" s="5"/>
    </row>
    <row r="85" spans="32:37" x14ac:dyDescent="0.2">
      <c r="AF85" s="5"/>
      <c r="AG85" s="5"/>
    </row>
    <row r="86" spans="32:37" x14ac:dyDescent="0.2">
      <c r="AH86" s="5"/>
      <c r="AI86" s="5"/>
      <c r="AJ86" s="5"/>
      <c r="AK86" s="5"/>
    </row>
  </sheetData>
  <mergeCells count="6">
    <mergeCell ref="CH34:CL37"/>
    <mergeCell ref="BK36:BO39"/>
    <mergeCell ref="AF43:AH45"/>
    <mergeCell ref="A13:C16"/>
    <mergeCell ref="A1:C1"/>
    <mergeCell ref="A4:C4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F86"/>
  <sheetViews>
    <sheetView workbookViewId="0">
      <pane xSplit="3" topLeftCell="D1" activePane="topRight" state="frozen"/>
      <selection pane="topRight" activeCell="D1" sqref="D1"/>
    </sheetView>
  </sheetViews>
  <sheetFormatPr defaultRowHeight="12.75" x14ac:dyDescent="0.2"/>
  <cols>
    <col min="1" max="1" width="14.42578125" bestFit="1" customWidth="1"/>
    <col min="2" max="2" width="9.42578125" bestFit="1" customWidth="1"/>
    <col min="3" max="3" width="14.28515625" bestFit="1" customWidth="1"/>
    <col min="4" max="4" width="8.5703125" customWidth="1"/>
    <col min="5" max="5" width="12.5703125" customWidth="1"/>
    <col min="6" max="6" width="19" customWidth="1"/>
    <col min="7" max="7" width="10" customWidth="1"/>
    <col min="8" max="8" width="12" customWidth="1"/>
    <col min="9" max="9" width="13.28515625" customWidth="1"/>
    <col min="10" max="10" width="10" customWidth="1"/>
    <col min="11" max="11" width="12.85546875" customWidth="1"/>
    <col min="12" max="12" width="14.28515625" customWidth="1"/>
    <col min="13" max="13" width="10.42578125" customWidth="1"/>
    <col min="14" max="14" width="11.5703125" customWidth="1"/>
    <col min="15" max="15" width="15.42578125" customWidth="1"/>
    <col min="16" max="16" width="10.42578125" customWidth="1"/>
    <col min="17" max="17" width="8.85546875" customWidth="1"/>
    <col min="18" max="18" width="15.42578125" customWidth="1"/>
    <col min="19" max="19" width="10.42578125" customWidth="1"/>
    <col min="20" max="20" width="8.85546875" customWidth="1"/>
    <col min="21" max="21" width="15.42578125" customWidth="1"/>
    <col min="22" max="22" width="8.5703125" customWidth="1"/>
    <col min="23" max="23" width="9" customWidth="1"/>
    <col min="24" max="24" width="16.85546875" customWidth="1"/>
    <col min="25" max="25" width="9.28515625" customWidth="1"/>
    <col min="26" max="26" width="11.140625" customWidth="1"/>
    <col min="27" max="27" width="16.85546875" customWidth="1"/>
    <col min="28" max="28" width="12.85546875" customWidth="1"/>
    <col min="29" max="29" width="17.42578125" customWidth="1"/>
    <col min="30" max="30" width="15.7109375" customWidth="1"/>
    <col min="31" max="31" width="15" customWidth="1"/>
    <col min="32" max="32" width="20.5703125" customWidth="1"/>
    <col min="33" max="33" width="24.28515625" customWidth="1"/>
    <col min="34" max="34" width="15.7109375" customWidth="1"/>
    <col min="35" max="35" width="10.42578125" customWidth="1"/>
    <col min="36" max="36" width="11.5703125" customWidth="1"/>
    <col min="37" max="37" width="15.42578125" customWidth="1"/>
    <col min="38" max="38" width="10.42578125" customWidth="1"/>
    <col min="39" max="39" width="8.85546875" customWidth="1"/>
    <col min="40" max="40" width="15.42578125" customWidth="1"/>
    <col min="41" max="41" width="10.42578125" customWidth="1"/>
    <col min="42" max="42" width="8.85546875" customWidth="1"/>
    <col min="43" max="43" width="15.42578125" customWidth="1"/>
    <col min="44" max="44" width="10.42578125" customWidth="1"/>
    <col min="45" max="45" width="11.5703125" customWidth="1"/>
    <col min="46" max="46" width="15.42578125" customWidth="1"/>
    <col min="47" max="47" width="10.42578125" customWidth="1"/>
    <col min="48" max="48" width="8.85546875" customWidth="1"/>
    <col min="49" max="49" width="15.42578125" customWidth="1"/>
    <col min="50" max="50" width="10.42578125" bestFit="1" customWidth="1"/>
    <col min="51" max="51" width="8.85546875" customWidth="1"/>
    <col min="52" max="52" width="15.42578125" customWidth="1"/>
    <col min="53" max="53" width="10.42578125" bestFit="1" customWidth="1"/>
    <col min="54" max="54" width="11.5703125" bestFit="1" customWidth="1"/>
    <col min="55" max="55" width="15.42578125" bestFit="1" customWidth="1"/>
    <col min="56" max="56" width="10.42578125" bestFit="1" customWidth="1"/>
    <col min="57" max="57" width="8.85546875" bestFit="1" customWidth="1"/>
    <col min="58" max="58" width="15.42578125" bestFit="1" customWidth="1"/>
    <col min="59" max="59" width="10.42578125" bestFit="1" customWidth="1"/>
    <col min="60" max="60" width="8.85546875" bestFit="1" customWidth="1"/>
    <col min="61" max="61" width="15.42578125" bestFit="1" customWidth="1"/>
    <col min="62" max="62" width="10.42578125" bestFit="1" customWidth="1"/>
    <col min="63" max="63" width="11.5703125" bestFit="1" customWidth="1"/>
    <col min="64" max="64" width="15.42578125" bestFit="1" customWidth="1"/>
    <col min="65" max="65" width="10.42578125" bestFit="1" customWidth="1"/>
    <col min="66" max="66" width="8.85546875" bestFit="1" customWidth="1"/>
    <col min="67" max="67" width="15.42578125" bestFit="1" customWidth="1"/>
    <col min="68" max="68" width="10.42578125" bestFit="1" customWidth="1"/>
    <col min="69" max="69" width="8.85546875" bestFit="1" customWidth="1"/>
    <col min="70" max="70" width="15.42578125" bestFit="1" customWidth="1"/>
    <col min="71" max="71" width="8.5703125" customWidth="1"/>
    <col min="72" max="72" width="10.5703125" bestFit="1" customWidth="1"/>
    <col min="73" max="73" width="19" bestFit="1" customWidth="1"/>
    <col min="74" max="75" width="12" bestFit="1" customWidth="1"/>
    <col min="76" max="76" width="10.42578125" bestFit="1" customWidth="1"/>
    <col min="77" max="77" width="10" bestFit="1" customWidth="1"/>
    <col min="78" max="78" width="11.28515625" bestFit="1" customWidth="1"/>
    <col min="79" max="79" width="14.28515625" customWidth="1"/>
    <col min="80" max="82" width="15.42578125" customWidth="1"/>
    <col min="83" max="83" width="10.42578125" bestFit="1" customWidth="1"/>
    <col min="84" max="84" width="8.85546875" bestFit="1" customWidth="1"/>
    <col min="85" max="85" width="15.42578125" bestFit="1" customWidth="1"/>
    <col min="86" max="86" width="10.42578125" bestFit="1" customWidth="1"/>
    <col min="87" max="87" width="8.85546875" bestFit="1" customWidth="1"/>
    <col min="88" max="88" width="15.42578125" bestFit="1" customWidth="1"/>
    <col min="89" max="89" width="9" bestFit="1" customWidth="1"/>
    <col min="90" max="90" width="8.85546875" bestFit="1" customWidth="1"/>
    <col min="91" max="91" width="8.140625" bestFit="1" customWidth="1"/>
    <col min="92" max="92" width="9.85546875" bestFit="1" customWidth="1"/>
    <col min="93" max="93" width="8.85546875" bestFit="1" customWidth="1"/>
    <col min="94" max="94" width="7.42578125" bestFit="1" customWidth="1"/>
    <col min="95" max="95" width="9.42578125" bestFit="1" customWidth="1"/>
    <col min="96" max="96" width="8.85546875" bestFit="1" customWidth="1"/>
    <col min="97" max="97" width="7.42578125" bestFit="1" customWidth="1"/>
    <col min="98" max="98" width="10" bestFit="1" customWidth="1"/>
    <col min="99" max="99" width="12.85546875" bestFit="1" customWidth="1"/>
    <col min="100" max="100" width="14.28515625" customWidth="1"/>
    <col min="101" max="101" width="8.5703125" customWidth="1"/>
    <col min="102" max="102" width="10.5703125" bestFit="1" customWidth="1"/>
    <col min="103" max="103" width="16.85546875" bestFit="1" customWidth="1"/>
    <col min="104" max="104" width="10.42578125" bestFit="1" customWidth="1"/>
    <col min="105" max="105" width="11.28515625" bestFit="1" customWidth="1"/>
    <col min="106" max="106" width="9.42578125" customWidth="1"/>
    <col min="107" max="107" width="9.140625" customWidth="1"/>
    <col min="108" max="108" width="11.28515625" bestFit="1" customWidth="1"/>
    <col min="109" max="109" width="9.140625" customWidth="1"/>
    <col min="110" max="110" width="9.85546875" bestFit="1" customWidth="1"/>
    <col min="111" max="111" width="12" customWidth="1"/>
    <col min="112" max="112" width="9.42578125" customWidth="1"/>
    <col min="113" max="113" width="7.5703125" bestFit="1" customWidth="1"/>
    <col min="114" max="114" width="8.28515625" bestFit="1" customWidth="1"/>
    <col min="115" max="115" width="7.42578125" bestFit="1" customWidth="1"/>
    <col min="116" max="116" width="7.5703125" bestFit="1" customWidth="1"/>
    <col min="117" max="117" width="8.28515625" bestFit="1" customWidth="1"/>
    <col min="118" max="118" width="7.42578125" bestFit="1" customWidth="1"/>
    <col min="119" max="119" width="9.85546875" bestFit="1" customWidth="1"/>
    <col min="120" max="120" width="12" customWidth="1"/>
    <col min="121" max="121" width="9.42578125" customWidth="1"/>
    <col min="122" max="122" width="8" bestFit="1" customWidth="1"/>
    <col min="123" max="123" width="12.85546875" bestFit="1" customWidth="1"/>
    <col min="124" max="124" width="9.140625" customWidth="1"/>
    <col min="125" max="125" width="8.85546875" bestFit="1" customWidth="1"/>
    <col min="126" max="126" width="8.85546875" customWidth="1"/>
    <col min="127" max="127" width="7.42578125" bestFit="1" customWidth="1"/>
    <col min="128" max="128" width="6.28515625" customWidth="1"/>
    <col min="129" max="129" width="8.85546875" customWidth="1"/>
    <col min="130" max="130" width="7.42578125" bestFit="1" customWidth="1"/>
    <col min="131" max="131" width="6.28515625" customWidth="1"/>
    <col min="132" max="132" width="8.85546875" customWidth="1"/>
    <col min="133" max="133" width="7.42578125" bestFit="1" customWidth="1"/>
    <col min="134" max="134" width="9.85546875" bestFit="1" customWidth="1"/>
    <col min="135" max="135" width="9.42578125" bestFit="1" customWidth="1"/>
    <col min="136" max="136" width="7.42578125" bestFit="1" customWidth="1"/>
    <col min="137" max="137" width="8" bestFit="1" customWidth="1"/>
    <col min="138" max="138" width="12.85546875" bestFit="1" customWidth="1"/>
    <col min="139" max="139" width="9.140625" customWidth="1"/>
    <col min="140" max="140" width="8.28515625" customWidth="1"/>
    <col min="141" max="141" width="8.85546875" customWidth="1"/>
    <col min="142" max="142" width="7.42578125" bestFit="1" customWidth="1"/>
    <col min="143" max="143" width="6.28515625" customWidth="1"/>
    <col min="144" max="144" width="8.85546875" customWidth="1"/>
    <col min="145" max="145" width="7.42578125" bestFit="1" customWidth="1"/>
    <col min="146" max="146" width="6.28515625" customWidth="1"/>
    <col min="147" max="147" width="8.85546875" customWidth="1"/>
    <col min="148" max="148" width="7.42578125" bestFit="1" customWidth="1"/>
    <col min="149" max="149" width="9.85546875" bestFit="1" customWidth="1"/>
    <col min="150" max="150" width="9.42578125" bestFit="1" customWidth="1"/>
    <col min="151" max="151" width="7.42578125" bestFit="1" customWidth="1"/>
    <col min="152" max="152" width="8" bestFit="1" customWidth="1"/>
    <col min="153" max="153" width="11.28515625" bestFit="1" customWidth="1"/>
    <col min="154" max="154" width="9.140625" customWidth="1"/>
    <col min="155" max="155" width="7.85546875" bestFit="1" customWidth="1"/>
    <col min="156" max="156" width="8.85546875" customWidth="1"/>
    <col min="157" max="157" width="7.42578125" bestFit="1" customWidth="1"/>
    <col min="158" max="158" width="8.28515625" bestFit="1" customWidth="1"/>
    <col min="159" max="159" width="8.85546875" bestFit="1" customWidth="1"/>
    <col min="160" max="160" width="7.42578125" bestFit="1" customWidth="1"/>
    <col min="161" max="162" width="8.28515625" bestFit="1" customWidth="1"/>
    <col min="163" max="163" width="7.42578125" bestFit="1" customWidth="1"/>
    <col min="164" max="164" width="9.85546875" bestFit="1" customWidth="1"/>
    <col min="165" max="165" width="9" bestFit="1" customWidth="1"/>
    <col min="166" max="166" width="7.42578125" bestFit="1" customWidth="1"/>
    <col min="167" max="167" width="8.28515625" bestFit="1" customWidth="1"/>
    <col min="168" max="168" width="12.85546875" bestFit="1" customWidth="1"/>
    <col min="169" max="169" width="9.140625" customWidth="1"/>
    <col min="170" max="170" width="7.7109375" customWidth="1"/>
    <col min="171" max="171" width="8.28515625" customWidth="1"/>
    <col min="172" max="172" width="7.42578125" customWidth="1"/>
    <col min="173" max="173" width="6.5703125" customWidth="1"/>
    <col min="174" max="174" width="9" customWidth="1"/>
    <col min="175" max="175" width="7.42578125" customWidth="1"/>
    <col min="176" max="176" width="6.5703125" customWidth="1"/>
    <col min="177" max="177" width="9" customWidth="1"/>
    <col min="178" max="178" width="7.42578125" customWidth="1"/>
    <col min="179" max="179" width="9.85546875" customWidth="1"/>
    <col min="180" max="180" width="9" customWidth="1"/>
    <col min="181" max="181" width="7.42578125" customWidth="1"/>
    <col min="182" max="182" width="8" customWidth="1"/>
    <col min="183" max="183" width="12.85546875" bestFit="1" customWidth="1"/>
    <col min="184" max="184" width="9.140625" customWidth="1"/>
    <col min="185" max="185" width="6.85546875" customWidth="1"/>
    <col min="186" max="186" width="8.85546875" customWidth="1"/>
    <col min="187" max="187" width="7.42578125" customWidth="1"/>
    <col min="188" max="188" width="7.28515625" customWidth="1"/>
    <col min="189" max="189" width="8.85546875" customWidth="1"/>
    <col min="190" max="190" width="7.42578125" customWidth="1"/>
    <col min="191" max="191" width="7.28515625" customWidth="1"/>
    <col min="192" max="192" width="8.28515625" customWidth="1"/>
    <col min="193" max="193" width="7.42578125" customWidth="1"/>
    <col min="194" max="194" width="9.85546875" customWidth="1"/>
    <col min="195" max="195" width="9" customWidth="1"/>
    <col min="196" max="196" width="7.42578125" customWidth="1"/>
    <col min="197" max="197" width="9.7109375" bestFit="1" customWidth="1"/>
    <col min="198" max="198" width="12" bestFit="1" customWidth="1"/>
    <col min="199" max="199" width="9.140625" customWidth="1"/>
    <col min="200" max="200" width="9.5703125" bestFit="1" customWidth="1"/>
    <col min="201" max="201" width="8.85546875" bestFit="1" customWidth="1"/>
    <col min="202" max="202" width="7.42578125" bestFit="1" customWidth="1"/>
    <col min="203" max="203" width="7.5703125" bestFit="1" customWidth="1"/>
    <col min="204" max="204" width="8.85546875" bestFit="1" customWidth="1"/>
    <col min="205" max="205" width="7.42578125" bestFit="1" customWidth="1"/>
    <col min="206" max="206" width="7.5703125" bestFit="1" customWidth="1"/>
    <col min="207" max="207" width="8.85546875" bestFit="1" customWidth="1"/>
    <col min="208" max="208" width="7.42578125" bestFit="1" customWidth="1"/>
    <col min="209" max="209" width="9.85546875" bestFit="1" customWidth="1"/>
    <col min="210" max="210" width="9" bestFit="1" customWidth="1"/>
    <col min="211" max="211" width="7.42578125" bestFit="1" customWidth="1"/>
    <col min="212" max="212" width="10.28515625" bestFit="1" customWidth="1"/>
    <col min="213" max="213" width="9" bestFit="1" customWidth="1"/>
    <col min="214" max="214" width="12.5703125" bestFit="1" customWidth="1"/>
  </cols>
  <sheetData>
    <row r="1" spans="1:214" ht="13.9" customHeight="1" thickTop="1" thickBot="1" x14ac:dyDescent="0.25">
      <c r="A1" s="439" t="s">
        <v>424</v>
      </c>
      <c r="B1" s="440"/>
      <c r="C1" s="441"/>
      <c r="D1" s="98" t="s">
        <v>3</v>
      </c>
      <c r="E1" s="99"/>
      <c r="F1" s="99" t="s">
        <v>0</v>
      </c>
      <c r="G1" s="260" t="s">
        <v>3</v>
      </c>
      <c r="H1" s="114"/>
      <c r="I1" s="114" t="s">
        <v>0</v>
      </c>
      <c r="J1" s="257" t="s">
        <v>3</v>
      </c>
      <c r="K1" s="104"/>
      <c r="L1" s="105" t="s">
        <v>0</v>
      </c>
      <c r="M1" s="117" t="s">
        <v>13</v>
      </c>
      <c r="N1" s="118" t="s">
        <v>14</v>
      </c>
      <c r="O1" s="118" t="s">
        <v>0</v>
      </c>
      <c r="P1" s="252" t="s">
        <v>13</v>
      </c>
      <c r="Q1" s="118" t="s">
        <v>141</v>
      </c>
      <c r="R1" s="118" t="s">
        <v>0</v>
      </c>
      <c r="S1" s="252" t="s">
        <v>13</v>
      </c>
      <c r="T1" s="118" t="s">
        <v>16</v>
      </c>
      <c r="U1" s="119" t="s">
        <v>0</v>
      </c>
      <c r="V1" s="88" t="s">
        <v>1</v>
      </c>
      <c r="W1" s="89" t="s">
        <v>2</v>
      </c>
      <c r="X1" s="89" t="s">
        <v>0</v>
      </c>
      <c r="Y1" s="248" t="s">
        <v>1</v>
      </c>
      <c r="Z1" s="89" t="s">
        <v>4</v>
      </c>
      <c r="AA1" s="90" t="s">
        <v>0</v>
      </c>
      <c r="AB1" s="149" t="s">
        <v>1</v>
      </c>
      <c r="AC1" s="243" t="s">
        <v>4</v>
      </c>
      <c r="AD1" s="240" t="s">
        <v>5</v>
      </c>
      <c r="AE1" s="243" t="s">
        <v>2</v>
      </c>
      <c r="AF1" s="243" t="s">
        <v>7</v>
      </c>
      <c r="AG1" s="240" t="s">
        <v>6</v>
      </c>
      <c r="AH1" s="163" t="s">
        <v>15</v>
      </c>
      <c r="AI1" s="133" t="s">
        <v>13</v>
      </c>
      <c r="AJ1" s="134" t="s">
        <v>14</v>
      </c>
      <c r="AK1" s="134" t="s">
        <v>0</v>
      </c>
      <c r="AL1" s="233" t="s">
        <v>13</v>
      </c>
      <c r="AM1" s="134" t="s">
        <v>141</v>
      </c>
      <c r="AN1" s="134" t="s">
        <v>0</v>
      </c>
      <c r="AO1" s="233" t="s">
        <v>13</v>
      </c>
      <c r="AP1" s="134" t="s">
        <v>16</v>
      </c>
      <c r="AQ1" s="135" t="s">
        <v>0</v>
      </c>
      <c r="AR1" s="141" t="s">
        <v>13</v>
      </c>
      <c r="AS1" s="142" t="s">
        <v>14</v>
      </c>
      <c r="AT1" s="142" t="s">
        <v>0</v>
      </c>
      <c r="AU1" s="236" t="s">
        <v>13</v>
      </c>
      <c r="AV1" s="142" t="s">
        <v>141</v>
      </c>
      <c r="AW1" s="142" t="s">
        <v>0</v>
      </c>
      <c r="AX1" s="236" t="s">
        <v>13</v>
      </c>
      <c r="AY1" s="142" t="s">
        <v>16</v>
      </c>
      <c r="AZ1" s="143" t="s">
        <v>0</v>
      </c>
      <c r="BA1" s="141" t="s">
        <v>13</v>
      </c>
      <c r="BB1" s="142" t="s">
        <v>14</v>
      </c>
      <c r="BC1" s="142" t="s">
        <v>0</v>
      </c>
      <c r="BD1" s="236" t="s">
        <v>13</v>
      </c>
      <c r="BE1" s="142" t="s">
        <v>141</v>
      </c>
      <c r="BF1" s="142" t="s">
        <v>0</v>
      </c>
      <c r="BG1" s="236" t="s">
        <v>13</v>
      </c>
      <c r="BH1" s="142" t="s">
        <v>16</v>
      </c>
      <c r="BI1" s="143" t="s">
        <v>0</v>
      </c>
      <c r="BJ1" s="141" t="s">
        <v>13</v>
      </c>
      <c r="BK1" s="142" t="s">
        <v>14</v>
      </c>
      <c r="BL1" s="142" t="s">
        <v>0</v>
      </c>
      <c r="BM1" s="236" t="s">
        <v>13</v>
      </c>
      <c r="BN1" s="142" t="s">
        <v>141</v>
      </c>
      <c r="BO1" s="142" t="s">
        <v>0</v>
      </c>
      <c r="BP1" s="236" t="s">
        <v>13</v>
      </c>
      <c r="BQ1" s="142" t="s">
        <v>16</v>
      </c>
      <c r="BR1" s="143" t="s">
        <v>0</v>
      </c>
      <c r="BS1" s="230" t="s">
        <v>8</v>
      </c>
      <c r="BT1" s="76"/>
      <c r="BU1" s="76" t="s">
        <v>0</v>
      </c>
      <c r="BV1" s="230" t="s">
        <v>8</v>
      </c>
      <c r="BW1" s="76"/>
      <c r="BX1" s="76" t="s">
        <v>0</v>
      </c>
      <c r="BY1" s="230" t="s">
        <v>397</v>
      </c>
      <c r="BZ1" s="76"/>
      <c r="CA1" s="76" t="s">
        <v>0</v>
      </c>
      <c r="CB1" s="230" t="s">
        <v>8</v>
      </c>
      <c r="CC1" s="76" t="s">
        <v>14</v>
      </c>
      <c r="CD1" s="76" t="s">
        <v>0</v>
      </c>
      <c r="CE1" s="230" t="s">
        <v>8</v>
      </c>
      <c r="CF1" s="76" t="s">
        <v>141</v>
      </c>
      <c r="CG1" s="76" t="s">
        <v>0</v>
      </c>
      <c r="CH1" s="230" t="s">
        <v>8</v>
      </c>
      <c r="CI1" s="76" t="s">
        <v>16</v>
      </c>
      <c r="CJ1" s="77" t="s">
        <v>0</v>
      </c>
      <c r="CK1" s="230" t="s">
        <v>8</v>
      </c>
      <c r="CL1" s="76" t="s">
        <v>301</v>
      </c>
      <c r="CM1" s="77" t="s">
        <v>0</v>
      </c>
      <c r="CN1" s="230" t="s">
        <v>8</v>
      </c>
      <c r="CO1" s="76" t="s">
        <v>301</v>
      </c>
      <c r="CP1" s="77" t="s">
        <v>0</v>
      </c>
      <c r="CQ1" s="230" t="s">
        <v>8</v>
      </c>
      <c r="CR1" s="76" t="s">
        <v>301</v>
      </c>
      <c r="CS1" s="77" t="s">
        <v>0</v>
      </c>
      <c r="CT1" s="382" t="s">
        <v>295</v>
      </c>
      <c r="CU1" s="383"/>
      <c r="CV1" s="384" t="s">
        <v>0</v>
      </c>
      <c r="CW1" s="265" t="s">
        <v>295</v>
      </c>
      <c r="CX1" s="174"/>
      <c r="CY1" s="174" t="s">
        <v>0</v>
      </c>
      <c r="CZ1" s="268" t="s">
        <v>9</v>
      </c>
      <c r="DA1" s="178"/>
      <c r="DB1" s="179" t="s">
        <v>0</v>
      </c>
      <c r="DC1" s="307" t="s">
        <v>9</v>
      </c>
      <c r="DD1" s="307"/>
      <c r="DE1" s="307" t="s">
        <v>422</v>
      </c>
      <c r="DF1" s="27" t="s">
        <v>9</v>
      </c>
      <c r="DG1" s="28" t="s">
        <v>10</v>
      </c>
      <c r="DH1" s="28" t="s">
        <v>422</v>
      </c>
      <c r="DI1" s="226" t="s">
        <v>9</v>
      </c>
      <c r="DJ1" s="28" t="s">
        <v>11</v>
      </c>
      <c r="DK1" s="28" t="s">
        <v>422</v>
      </c>
      <c r="DL1" s="226" t="s">
        <v>9</v>
      </c>
      <c r="DM1" s="28" t="s">
        <v>12</v>
      </c>
      <c r="DN1" s="28" t="s">
        <v>422</v>
      </c>
      <c r="DO1" s="226" t="s">
        <v>9</v>
      </c>
      <c r="DP1" s="28" t="s">
        <v>12</v>
      </c>
      <c r="DQ1" s="29" t="s">
        <v>422</v>
      </c>
      <c r="DR1" s="23" t="s">
        <v>9</v>
      </c>
      <c r="DS1" s="23"/>
      <c r="DT1" s="23" t="s">
        <v>422</v>
      </c>
      <c r="DU1" s="315" t="s">
        <v>9</v>
      </c>
      <c r="DV1" s="316" t="s">
        <v>10</v>
      </c>
      <c r="DW1" s="316" t="s">
        <v>422</v>
      </c>
      <c r="DX1" s="317" t="s">
        <v>9</v>
      </c>
      <c r="DY1" s="316" t="s">
        <v>11</v>
      </c>
      <c r="DZ1" s="316" t="s">
        <v>422</v>
      </c>
      <c r="EA1" s="317" t="s">
        <v>9</v>
      </c>
      <c r="EB1" s="316" t="s">
        <v>12</v>
      </c>
      <c r="EC1" s="316" t="s">
        <v>422</v>
      </c>
      <c r="ED1" s="317" t="s">
        <v>9</v>
      </c>
      <c r="EE1" s="316" t="s">
        <v>12</v>
      </c>
      <c r="EF1" s="318" t="s">
        <v>422</v>
      </c>
      <c r="EG1" s="18" t="s">
        <v>9</v>
      </c>
      <c r="EH1" s="18"/>
      <c r="EI1" s="18" t="s">
        <v>422</v>
      </c>
      <c r="EJ1" s="332" t="s">
        <v>9</v>
      </c>
      <c r="EK1" s="333" t="s">
        <v>10</v>
      </c>
      <c r="EL1" s="333" t="s">
        <v>422</v>
      </c>
      <c r="EM1" s="334" t="s">
        <v>9</v>
      </c>
      <c r="EN1" s="333" t="s">
        <v>11</v>
      </c>
      <c r="EO1" s="333" t="s">
        <v>422</v>
      </c>
      <c r="EP1" s="334" t="s">
        <v>9</v>
      </c>
      <c r="EQ1" s="333" t="s">
        <v>12</v>
      </c>
      <c r="ER1" s="333" t="s">
        <v>422</v>
      </c>
      <c r="ES1" s="334" t="s">
        <v>9</v>
      </c>
      <c r="ET1" s="333" t="s">
        <v>12</v>
      </c>
      <c r="EU1" s="335" t="s">
        <v>422</v>
      </c>
      <c r="EV1" s="37" t="s">
        <v>9</v>
      </c>
      <c r="EW1" s="37"/>
      <c r="EX1" s="37" t="s">
        <v>422</v>
      </c>
      <c r="EY1" s="192" t="s">
        <v>9</v>
      </c>
      <c r="EZ1" s="193" t="s">
        <v>10</v>
      </c>
      <c r="FA1" s="193" t="s">
        <v>422</v>
      </c>
      <c r="FB1" s="221" t="s">
        <v>9</v>
      </c>
      <c r="FC1" s="193" t="s">
        <v>11</v>
      </c>
      <c r="FD1" s="193" t="s">
        <v>422</v>
      </c>
      <c r="FE1" s="221" t="s">
        <v>9</v>
      </c>
      <c r="FF1" s="193" t="s">
        <v>12</v>
      </c>
      <c r="FG1" s="193" t="s">
        <v>422</v>
      </c>
      <c r="FH1" s="221" t="s">
        <v>9</v>
      </c>
      <c r="FI1" s="193" t="s">
        <v>12</v>
      </c>
      <c r="FJ1" s="194" t="s">
        <v>422</v>
      </c>
      <c r="FK1" s="41" t="s">
        <v>9</v>
      </c>
      <c r="FL1" s="42"/>
      <c r="FM1" s="43" t="s">
        <v>422</v>
      </c>
      <c r="FN1" s="204" t="s">
        <v>9</v>
      </c>
      <c r="FO1" s="205" t="s">
        <v>10</v>
      </c>
      <c r="FP1" s="205" t="s">
        <v>422</v>
      </c>
      <c r="FQ1" s="216" t="s">
        <v>9</v>
      </c>
      <c r="FR1" s="205" t="s">
        <v>11</v>
      </c>
      <c r="FS1" s="205" t="s">
        <v>422</v>
      </c>
      <c r="FT1" s="216" t="s">
        <v>9</v>
      </c>
      <c r="FU1" s="205" t="s">
        <v>12</v>
      </c>
      <c r="FV1" s="205" t="s">
        <v>422</v>
      </c>
      <c r="FW1" s="216" t="s">
        <v>9</v>
      </c>
      <c r="FX1" s="205" t="s">
        <v>12</v>
      </c>
      <c r="FY1" s="206" t="s">
        <v>422</v>
      </c>
      <c r="FZ1" s="53" t="s">
        <v>9</v>
      </c>
      <c r="GA1" s="54"/>
      <c r="GB1" s="55" t="s">
        <v>422</v>
      </c>
      <c r="GC1" s="272" t="s">
        <v>9</v>
      </c>
      <c r="GD1" s="273" t="s">
        <v>10</v>
      </c>
      <c r="GE1" s="273" t="s">
        <v>422</v>
      </c>
      <c r="GF1" s="284" t="s">
        <v>9</v>
      </c>
      <c r="GG1" s="273" t="s">
        <v>11</v>
      </c>
      <c r="GH1" s="273" t="s">
        <v>422</v>
      </c>
      <c r="GI1" s="284" t="s">
        <v>9</v>
      </c>
      <c r="GJ1" s="273" t="s">
        <v>12</v>
      </c>
      <c r="GK1" s="273" t="s">
        <v>422</v>
      </c>
      <c r="GL1" s="284" t="s">
        <v>9</v>
      </c>
      <c r="GM1" s="273" t="s">
        <v>12</v>
      </c>
      <c r="GN1" s="274" t="s">
        <v>422</v>
      </c>
      <c r="GO1" s="65" t="s">
        <v>9</v>
      </c>
      <c r="GP1" s="66"/>
      <c r="GQ1" s="67" t="s">
        <v>422</v>
      </c>
      <c r="GR1" s="288" t="s">
        <v>9</v>
      </c>
      <c r="GS1" s="289" t="s">
        <v>10</v>
      </c>
      <c r="GT1" s="289" t="s">
        <v>422</v>
      </c>
      <c r="GU1" s="296" t="s">
        <v>9</v>
      </c>
      <c r="GV1" s="289" t="s">
        <v>11</v>
      </c>
      <c r="GW1" s="289" t="s">
        <v>422</v>
      </c>
      <c r="GX1" s="296" t="s">
        <v>9</v>
      </c>
      <c r="GY1" s="289" t="s">
        <v>12</v>
      </c>
      <c r="GZ1" s="289" t="s">
        <v>422</v>
      </c>
      <c r="HA1" s="296" t="s">
        <v>9</v>
      </c>
      <c r="HB1" s="289" t="s">
        <v>12</v>
      </c>
      <c r="HC1" s="289" t="s">
        <v>422</v>
      </c>
      <c r="HD1" s="157" t="s">
        <v>456</v>
      </c>
      <c r="HE1" s="158" t="s">
        <v>422</v>
      </c>
      <c r="HF1" s="159" t="s">
        <v>17</v>
      </c>
    </row>
    <row r="2" spans="1:214" ht="13.5" thickTop="1" x14ac:dyDescent="0.2">
      <c r="A2" s="420" t="s">
        <v>465</v>
      </c>
      <c r="B2" s="415">
        <v>0.124</v>
      </c>
      <c r="C2" s="416"/>
      <c r="D2" s="101" t="s">
        <v>18</v>
      </c>
      <c r="E2" s="101" t="s">
        <v>456</v>
      </c>
      <c r="F2" s="101" t="s">
        <v>19</v>
      </c>
      <c r="G2" s="261" t="s">
        <v>20</v>
      </c>
      <c r="H2" s="115" t="s">
        <v>456</v>
      </c>
      <c r="I2" s="115" t="s">
        <v>21</v>
      </c>
      <c r="J2" s="258" t="s">
        <v>11</v>
      </c>
      <c r="K2" s="107" t="s">
        <v>456</v>
      </c>
      <c r="L2" s="108" t="s">
        <v>22</v>
      </c>
      <c r="M2" s="120" t="s">
        <v>32</v>
      </c>
      <c r="N2" s="121" t="s">
        <v>33</v>
      </c>
      <c r="O2" s="131" t="s">
        <v>22</v>
      </c>
      <c r="P2" s="253" t="s">
        <v>32</v>
      </c>
      <c r="Q2" s="121" t="s">
        <v>33</v>
      </c>
      <c r="R2" s="131" t="s">
        <v>22</v>
      </c>
      <c r="S2" s="253" t="s">
        <v>32</v>
      </c>
      <c r="T2" s="121" t="s">
        <v>33</v>
      </c>
      <c r="U2" s="122" t="s">
        <v>22</v>
      </c>
      <c r="V2" s="91" t="s">
        <v>18</v>
      </c>
      <c r="W2" s="92" t="s">
        <v>456</v>
      </c>
      <c r="X2" s="92" t="s">
        <v>19</v>
      </c>
      <c r="Y2" s="249" t="s">
        <v>18</v>
      </c>
      <c r="Z2" s="92" t="s">
        <v>456</v>
      </c>
      <c r="AA2" s="93" t="s">
        <v>19</v>
      </c>
      <c r="AB2" s="150" t="s">
        <v>11</v>
      </c>
      <c r="AC2" s="244" t="s">
        <v>456</v>
      </c>
      <c r="AD2" s="83" t="s">
        <v>456</v>
      </c>
      <c r="AE2" s="244" t="s">
        <v>456</v>
      </c>
      <c r="AF2" s="244" t="s">
        <v>456</v>
      </c>
      <c r="AG2" s="83" t="s">
        <v>456</v>
      </c>
      <c r="AH2" s="164" t="s">
        <v>22</v>
      </c>
      <c r="AI2" s="136" t="s">
        <v>5</v>
      </c>
      <c r="AJ2" s="84" t="s">
        <v>34</v>
      </c>
      <c r="AK2" s="151" t="s">
        <v>22</v>
      </c>
      <c r="AL2" s="234" t="s">
        <v>5</v>
      </c>
      <c r="AM2" s="84" t="s">
        <v>34</v>
      </c>
      <c r="AN2" s="151" t="s">
        <v>22</v>
      </c>
      <c r="AO2" s="234" t="s">
        <v>5</v>
      </c>
      <c r="AP2" s="84" t="s">
        <v>34</v>
      </c>
      <c r="AQ2" s="137" t="s">
        <v>22</v>
      </c>
      <c r="AR2" s="144" t="s">
        <v>2</v>
      </c>
      <c r="AS2" s="86" t="s">
        <v>34</v>
      </c>
      <c r="AT2" s="152" t="s">
        <v>22</v>
      </c>
      <c r="AU2" s="237" t="s">
        <v>2</v>
      </c>
      <c r="AV2" s="86" t="s">
        <v>34</v>
      </c>
      <c r="AW2" s="152" t="s">
        <v>22</v>
      </c>
      <c r="AX2" s="237" t="s">
        <v>2</v>
      </c>
      <c r="AY2" s="86" t="s">
        <v>34</v>
      </c>
      <c r="AZ2" s="145" t="s">
        <v>22</v>
      </c>
      <c r="BA2" s="144" t="s">
        <v>4</v>
      </c>
      <c r="BB2" s="86" t="s">
        <v>34</v>
      </c>
      <c r="BC2" s="152" t="s">
        <v>22</v>
      </c>
      <c r="BD2" s="237" t="s">
        <v>4</v>
      </c>
      <c r="BE2" s="86" t="s">
        <v>34</v>
      </c>
      <c r="BF2" s="152" t="s">
        <v>22</v>
      </c>
      <c r="BG2" s="237" t="s">
        <v>4</v>
      </c>
      <c r="BH2" s="86" t="s">
        <v>34</v>
      </c>
      <c r="BI2" s="145" t="s">
        <v>22</v>
      </c>
      <c r="BJ2" s="144" t="s">
        <v>222</v>
      </c>
      <c r="BK2" s="86" t="s">
        <v>34</v>
      </c>
      <c r="BL2" s="152" t="s">
        <v>22</v>
      </c>
      <c r="BM2" s="237" t="s">
        <v>222</v>
      </c>
      <c r="BN2" s="86" t="s">
        <v>34</v>
      </c>
      <c r="BO2" s="152" t="s">
        <v>22</v>
      </c>
      <c r="BP2" s="237" t="s">
        <v>222</v>
      </c>
      <c r="BQ2" s="86" t="s">
        <v>34</v>
      </c>
      <c r="BR2" s="145" t="s">
        <v>22</v>
      </c>
      <c r="BS2" s="231" t="s">
        <v>18</v>
      </c>
      <c r="BT2" s="78" t="s">
        <v>456</v>
      </c>
      <c r="BU2" s="155" t="s">
        <v>19</v>
      </c>
      <c r="BV2" s="231" t="s">
        <v>23</v>
      </c>
      <c r="BW2" s="78" t="s">
        <v>456</v>
      </c>
      <c r="BX2" s="155" t="s">
        <v>21</v>
      </c>
      <c r="BY2" s="231" t="s">
        <v>11</v>
      </c>
      <c r="BZ2" s="78" t="s">
        <v>456</v>
      </c>
      <c r="CA2" s="155" t="s">
        <v>22</v>
      </c>
      <c r="CB2" s="231" t="s">
        <v>32</v>
      </c>
      <c r="CC2" s="78" t="s">
        <v>13</v>
      </c>
      <c r="CD2" s="155" t="s">
        <v>22</v>
      </c>
      <c r="CE2" s="231" t="s">
        <v>32</v>
      </c>
      <c r="CF2" s="78" t="s">
        <v>13</v>
      </c>
      <c r="CG2" s="155" t="s">
        <v>22</v>
      </c>
      <c r="CH2" s="231" t="s">
        <v>32</v>
      </c>
      <c r="CI2" s="78" t="s">
        <v>13</v>
      </c>
      <c r="CJ2" s="79" t="s">
        <v>22</v>
      </c>
      <c r="CK2" s="231" t="s">
        <v>303</v>
      </c>
      <c r="CL2" s="78"/>
      <c r="CM2" s="79" t="s">
        <v>22</v>
      </c>
      <c r="CN2" s="231" t="s">
        <v>11</v>
      </c>
      <c r="CO2" s="78"/>
      <c r="CP2" s="79" t="s">
        <v>22</v>
      </c>
      <c r="CQ2" s="231" t="s">
        <v>10</v>
      </c>
      <c r="CR2" s="78"/>
      <c r="CS2" s="79" t="s">
        <v>22</v>
      </c>
      <c r="CT2" s="385" t="s">
        <v>11</v>
      </c>
      <c r="CU2" s="386" t="s">
        <v>456</v>
      </c>
      <c r="CV2" s="387" t="s">
        <v>22</v>
      </c>
      <c r="CW2" s="266" t="s">
        <v>18</v>
      </c>
      <c r="CX2" s="175" t="s">
        <v>456</v>
      </c>
      <c r="CY2" s="175" t="s">
        <v>19</v>
      </c>
      <c r="CZ2" s="269" t="s">
        <v>20</v>
      </c>
      <c r="DA2" s="180" t="s">
        <v>456</v>
      </c>
      <c r="DB2" s="181" t="s">
        <v>25</v>
      </c>
      <c r="DC2" s="308" t="s">
        <v>26</v>
      </c>
      <c r="DD2" s="308" t="s">
        <v>456</v>
      </c>
      <c r="DE2" s="308" t="s">
        <v>25</v>
      </c>
      <c r="DF2" s="30" t="s">
        <v>26</v>
      </c>
      <c r="DG2" s="31" t="s">
        <v>456</v>
      </c>
      <c r="DH2" s="31" t="s">
        <v>29</v>
      </c>
      <c r="DI2" s="227" t="s">
        <v>26</v>
      </c>
      <c r="DJ2" s="31" t="s">
        <v>456</v>
      </c>
      <c r="DK2" s="31" t="s">
        <v>29</v>
      </c>
      <c r="DL2" s="227" t="s">
        <v>26</v>
      </c>
      <c r="DM2" s="31" t="s">
        <v>30</v>
      </c>
      <c r="DN2" s="31" t="s">
        <v>29</v>
      </c>
      <c r="DO2" s="227" t="s">
        <v>26</v>
      </c>
      <c r="DP2" s="31" t="s">
        <v>31</v>
      </c>
      <c r="DQ2" s="32" t="s">
        <v>29</v>
      </c>
      <c r="DR2" s="24" t="s">
        <v>27</v>
      </c>
      <c r="DS2" s="24" t="s">
        <v>456</v>
      </c>
      <c r="DT2" s="24" t="s">
        <v>25</v>
      </c>
      <c r="DU2" s="319" t="s">
        <v>27</v>
      </c>
      <c r="DV2" s="320" t="s">
        <v>456</v>
      </c>
      <c r="DW2" s="320" t="s">
        <v>29</v>
      </c>
      <c r="DX2" s="314" t="s">
        <v>27</v>
      </c>
      <c r="DY2" s="320" t="s">
        <v>456</v>
      </c>
      <c r="DZ2" s="320" t="s">
        <v>29</v>
      </c>
      <c r="EA2" s="314" t="s">
        <v>27</v>
      </c>
      <c r="EB2" s="320" t="s">
        <v>30</v>
      </c>
      <c r="EC2" s="320" t="s">
        <v>29</v>
      </c>
      <c r="ED2" s="314" t="s">
        <v>27</v>
      </c>
      <c r="EE2" s="320" t="s">
        <v>31</v>
      </c>
      <c r="EF2" s="321" t="s">
        <v>29</v>
      </c>
      <c r="EG2" s="19" t="s">
        <v>28</v>
      </c>
      <c r="EH2" s="19" t="s">
        <v>456</v>
      </c>
      <c r="EI2" s="19" t="s">
        <v>25</v>
      </c>
      <c r="EJ2" s="336" t="s">
        <v>28</v>
      </c>
      <c r="EK2" s="337" t="s">
        <v>456</v>
      </c>
      <c r="EL2" s="337" t="s">
        <v>29</v>
      </c>
      <c r="EM2" s="331" t="s">
        <v>28</v>
      </c>
      <c r="EN2" s="337" t="s">
        <v>456</v>
      </c>
      <c r="EO2" s="337" t="s">
        <v>29</v>
      </c>
      <c r="EP2" s="331" t="s">
        <v>28</v>
      </c>
      <c r="EQ2" s="337" t="s">
        <v>30</v>
      </c>
      <c r="ER2" s="337" t="s">
        <v>29</v>
      </c>
      <c r="ES2" s="331" t="s">
        <v>28</v>
      </c>
      <c r="ET2" s="337" t="s">
        <v>31</v>
      </c>
      <c r="EU2" s="338" t="s">
        <v>29</v>
      </c>
      <c r="EV2" s="38" t="s">
        <v>230</v>
      </c>
      <c r="EW2" s="38" t="s">
        <v>456</v>
      </c>
      <c r="EX2" s="38" t="s">
        <v>25</v>
      </c>
      <c r="EY2" s="195" t="s">
        <v>230</v>
      </c>
      <c r="EZ2" s="196" t="s">
        <v>456</v>
      </c>
      <c r="FA2" s="196" t="s">
        <v>29</v>
      </c>
      <c r="FB2" s="222" t="s">
        <v>230</v>
      </c>
      <c r="FC2" s="196" t="s">
        <v>456</v>
      </c>
      <c r="FD2" s="196" t="s">
        <v>29</v>
      </c>
      <c r="FE2" s="222" t="s">
        <v>230</v>
      </c>
      <c r="FF2" s="196" t="s">
        <v>30</v>
      </c>
      <c r="FG2" s="196" t="s">
        <v>29</v>
      </c>
      <c r="FH2" s="222" t="s">
        <v>230</v>
      </c>
      <c r="FI2" s="196" t="s">
        <v>31</v>
      </c>
      <c r="FJ2" s="197" t="s">
        <v>29</v>
      </c>
      <c r="FK2" s="44" t="s">
        <v>150</v>
      </c>
      <c r="FL2" s="45" t="s">
        <v>456</v>
      </c>
      <c r="FM2" s="46" t="s">
        <v>25</v>
      </c>
      <c r="FN2" s="207" t="s">
        <v>150</v>
      </c>
      <c r="FO2" s="208" t="s">
        <v>456</v>
      </c>
      <c r="FP2" s="208" t="s">
        <v>29</v>
      </c>
      <c r="FQ2" s="217" t="s">
        <v>150</v>
      </c>
      <c r="FR2" s="208" t="s">
        <v>456</v>
      </c>
      <c r="FS2" s="208" t="s">
        <v>29</v>
      </c>
      <c r="FT2" s="217" t="s">
        <v>150</v>
      </c>
      <c r="FU2" s="208" t="s">
        <v>30</v>
      </c>
      <c r="FV2" s="208" t="s">
        <v>29</v>
      </c>
      <c r="FW2" s="217" t="s">
        <v>150</v>
      </c>
      <c r="FX2" s="208" t="s">
        <v>31</v>
      </c>
      <c r="FY2" s="209" t="s">
        <v>29</v>
      </c>
      <c r="FZ2" s="56" t="s">
        <v>231</v>
      </c>
      <c r="GA2" s="57" t="s">
        <v>456</v>
      </c>
      <c r="GB2" s="58" t="s">
        <v>25</v>
      </c>
      <c r="GC2" s="275" t="s">
        <v>231</v>
      </c>
      <c r="GD2" s="276" t="s">
        <v>456</v>
      </c>
      <c r="GE2" s="276" t="s">
        <v>29</v>
      </c>
      <c r="GF2" s="285" t="s">
        <v>231</v>
      </c>
      <c r="GG2" s="276" t="s">
        <v>456</v>
      </c>
      <c r="GH2" s="276" t="s">
        <v>29</v>
      </c>
      <c r="GI2" s="285" t="s">
        <v>231</v>
      </c>
      <c r="GJ2" s="276" t="s">
        <v>30</v>
      </c>
      <c r="GK2" s="276" t="s">
        <v>29</v>
      </c>
      <c r="GL2" s="285" t="s">
        <v>231</v>
      </c>
      <c r="GM2" s="276" t="s">
        <v>31</v>
      </c>
      <c r="GN2" s="277" t="s">
        <v>29</v>
      </c>
      <c r="GO2" s="22" t="s">
        <v>232</v>
      </c>
      <c r="GP2" s="68" t="s">
        <v>456</v>
      </c>
      <c r="GQ2" s="69" t="s">
        <v>25</v>
      </c>
      <c r="GR2" s="290" t="s">
        <v>232</v>
      </c>
      <c r="GS2" s="291" t="s">
        <v>456</v>
      </c>
      <c r="GT2" s="291" t="s">
        <v>29</v>
      </c>
      <c r="GU2" s="297" t="s">
        <v>232</v>
      </c>
      <c r="GV2" s="291" t="s">
        <v>456</v>
      </c>
      <c r="GW2" s="291" t="s">
        <v>29</v>
      </c>
      <c r="GX2" s="297" t="s">
        <v>232</v>
      </c>
      <c r="GY2" s="291" t="s">
        <v>30</v>
      </c>
      <c r="GZ2" s="291" t="s">
        <v>29</v>
      </c>
      <c r="HA2" s="297" t="s">
        <v>232</v>
      </c>
      <c r="HB2" s="291" t="s">
        <v>31</v>
      </c>
      <c r="HC2" s="291" t="s">
        <v>29</v>
      </c>
      <c r="HD2" s="160" t="s">
        <v>22</v>
      </c>
      <c r="HE2" s="161" t="s">
        <v>33</v>
      </c>
      <c r="HF2" s="162" t="s">
        <v>35</v>
      </c>
    </row>
    <row r="3" spans="1:214" ht="13.5" thickBot="1" x14ac:dyDescent="0.25">
      <c r="A3" s="424" t="s">
        <v>105</v>
      </c>
      <c r="B3" s="417">
        <v>0.79200000000000004</v>
      </c>
      <c r="C3" s="418"/>
      <c r="D3" s="101" t="s">
        <v>36</v>
      </c>
      <c r="E3" s="408" t="e">
        <f>1/((1/E20)+(1/E21))</f>
        <v>#DIV/0!</v>
      </c>
      <c r="F3" s="168"/>
      <c r="G3" s="261"/>
      <c r="H3" s="408" t="e">
        <f>1/((1/H10)+(1/H11)+(1/H12)+(1/H13))</f>
        <v>#DIV/0!</v>
      </c>
      <c r="I3" s="167"/>
      <c r="J3" s="258"/>
      <c r="K3" s="408">
        <f>1/((1/K14)+(1/K15)+(1/K16+(1/K17)))</f>
        <v>0.25044851542425589</v>
      </c>
      <c r="L3" s="110"/>
      <c r="M3" s="120" t="s">
        <v>475</v>
      </c>
      <c r="N3" s="123">
        <f>(N5*N6*N7)/((1-EXP(-N7*N6))*N10*N15*(N9/365)*N13*((N14*N12)+(N16*N11)))</f>
        <v>0.44258816839373394</v>
      </c>
      <c r="O3" s="131"/>
      <c r="P3" s="253" t="s">
        <v>475</v>
      </c>
      <c r="Q3" s="123" t="e">
        <f>(Q5*Q6*Q7)/((1-EXP(-Q7*Q6))*Q10*Q15*(Q9/365)*Q13*((Q14*Q12)+(Q16*Q11)))</f>
        <v>#DIV/0!</v>
      </c>
      <c r="R3" s="131"/>
      <c r="S3" s="253" t="s">
        <v>475</v>
      </c>
      <c r="T3" s="123" t="e">
        <f>(T5*T6*T7)/((1-EXP(-T7*T6))*T10*T15*(T9/365)*T13*((T14*T12)+(T16*T11)))</f>
        <v>#DIV/0!</v>
      </c>
      <c r="U3" s="122"/>
      <c r="V3" s="91" t="s">
        <v>37</v>
      </c>
      <c r="W3" s="94" t="e">
        <f>1/((1/W18)+(1/W19))</f>
        <v>#DIV/0!</v>
      </c>
      <c r="X3" s="127"/>
      <c r="Y3" s="250" t="s">
        <v>37</v>
      </c>
      <c r="Z3" s="94" t="e">
        <f>1/((1/Z18)+(1/Z19))</f>
        <v>#DIV/0!</v>
      </c>
      <c r="AA3" s="95"/>
      <c r="AB3" s="150"/>
      <c r="AC3" s="245">
        <f>1/((1/AC37)+(1/AC38)+(1/AC39))</f>
        <v>3.8124650265731206</v>
      </c>
      <c r="AD3" s="132">
        <f>1/((1/AD37)+(1/AD38)+(1/AD39))</f>
        <v>1.2894467173316022</v>
      </c>
      <c r="AE3" s="245">
        <f>1/((1/AE37)+(1/AE38)+(1/AE39))</f>
        <v>4.2360722517479124</v>
      </c>
      <c r="AF3" s="245">
        <f>1/((1/AF37)+(1/AF38)+(1/AF39))</f>
        <v>0.35984422573148828</v>
      </c>
      <c r="AG3" s="132">
        <f>1/((1/AG37)+(1/AG39)+(1/AG40))</f>
        <v>0.36102313011151965</v>
      </c>
      <c r="AH3" s="165"/>
      <c r="AI3" s="136" t="s">
        <v>475</v>
      </c>
      <c r="AJ3" s="85">
        <f>(AJ5*AJ6*AJ7)/((1-EXP(-AJ7*AJ6))*AJ10*AJ15*(AJ9/365)*AJ13*((AJ14*AJ12)+(AJ16*AJ11)))</f>
        <v>1.3113911488983583</v>
      </c>
      <c r="AK3" s="151"/>
      <c r="AL3" s="234" t="s">
        <v>475</v>
      </c>
      <c r="AM3" s="85" t="e">
        <f>(AM5*AM6*AM7)/((1-EXP(-AM7*AM6))*AM10*AM15*(AM9/365)*AM13*((AM14*AM12)+(AM16*AM11)))</f>
        <v>#DIV/0!</v>
      </c>
      <c r="AN3" s="151"/>
      <c r="AO3" s="234" t="s">
        <v>475</v>
      </c>
      <c r="AP3" s="85" t="e">
        <f>(AP5*AP6*AP7)/((1-EXP(-AP7*AP6))*AP10*AP15*(AP9/365)*AP13*((AP14*AP12)+(AP16*AP11)))</f>
        <v>#DIV/0!</v>
      </c>
      <c r="AQ3" s="137"/>
      <c r="AR3" s="144" t="s">
        <v>475</v>
      </c>
      <c r="AS3" s="87">
        <f>(AS5*AS6*AS7)/((1-EXP(-AS7*AS6))*AS10*AS15*(AS9/365)*AS13*((AS14*AS12)+(AS16*AS11)))</f>
        <v>4.7003266985604233</v>
      </c>
      <c r="AT3" s="152"/>
      <c r="AU3" s="237" t="s">
        <v>475</v>
      </c>
      <c r="AV3" s="87" t="e">
        <f>(AV5*AV6*AV7)/((1-EXP(-AV7*AV6))*AV10*AV15*(AV9/365)*AV13*((AV14*AV12)+(AV16*AV11)))</f>
        <v>#DIV/0!</v>
      </c>
      <c r="AW3" s="152"/>
      <c r="AX3" s="237" t="s">
        <v>475</v>
      </c>
      <c r="AY3" s="87" t="e">
        <f>(AY5*AY6*AY7)/((1-EXP(-AY7*AY6))*AY10*AY15*(AY9/365)*AY13*((AY14*AY12)+(AY16*AY11)))</f>
        <v>#DIV/0!</v>
      </c>
      <c r="AZ3" s="145"/>
      <c r="BA3" s="144" t="s">
        <v>475</v>
      </c>
      <c r="BB3" s="87">
        <f>(BB5*BB6*BB7)/((1-EXP(-BB7*BB6))*BB10*BB15*(BB9/365)*BB13*((BB14*BB12)+(BB16*BB11)))</f>
        <v>4.2302940287043818</v>
      </c>
      <c r="BC3" s="152"/>
      <c r="BD3" s="237" t="s">
        <v>475</v>
      </c>
      <c r="BE3" s="87" t="e">
        <f>(BE5*BE6*BE7)/((1-EXP(-BE7*BE6))*BE10*BE15*(BE9/365)*BE13*((BE14*BE12)+(BE16*BE11)))</f>
        <v>#DIV/0!</v>
      </c>
      <c r="BF3" s="152"/>
      <c r="BG3" s="237" t="s">
        <v>475</v>
      </c>
      <c r="BH3" s="87" t="e">
        <f>(BH5*BH6*BH7)/((1-EXP(-BH7*BH6))*BH10*BH15*(BH9/365)*BH13*((BH14*BH12)+(BH16*BH11)))</f>
        <v>#DIV/0!</v>
      </c>
      <c r="BI3" s="145"/>
      <c r="BJ3" s="144" t="s">
        <v>475</v>
      </c>
      <c r="BK3" s="87">
        <f>(BK5*BK6*BK7)/((1-EXP(-BK7*BK6))*BK12*BK16*(BK9/365)*BK14*BK15*BK13)</f>
        <v>4.2083846416683359</v>
      </c>
      <c r="BL3" s="152"/>
      <c r="BM3" s="237" t="s">
        <v>475</v>
      </c>
      <c r="BN3" s="87" t="e">
        <f>(BN5*BN6*BN7)/((1-EXP(-BN7*BN6))*BN12*BN16*(BN9/365)*BN14*BN15*BN13)</f>
        <v>#DIV/0!</v>
      </c>
      <c r="BO3" s="152"/>
      <c r="BP3" s="237" t="s">
        <v>475</v>
      </c>
      <c r="BQ3" s="87" t="e">
        <f>(BQ5*BQ6*BQ7)/((1-EXP(-BQ7*BQ6))*BQ12*BQ16*(BQ9/365)*BQ14*BQ15*BQ13)</f>
        <v>#DIV/0!</v>
      </c>
      <c r="BR3" s="145"/>
      <c r="BS3" s="231" t="s">
        <v>36</v>
      </c>
      <c r="BT3" s="80" t="e">
        <f>1/((1/BT21)+(1/BT22))</f>
        <v>#DIV/0!</v>
      </c>
      <c r="BU3" s="155"/>
      <c r="BV3" s="231"/>
      <c r="BW3" s="80" t="e">
        <f>1/((1/BW10)+(1/BW12))</f>
        <v>#DIV/0!</v>
      </c>
      <c r="BX3" s="155"/>
      <c r="BY3" s="231"/>
      <c r="BZ3" s="80">
        <f>1/((1/BZ13)+(1/BZ14)+(1/BZ15))</f>
        <v>31.121289981866308</v>
      </c>
      <c r="CA3" s="155"/>
      <c r="CB3" s="231" t="s">
        <v>475</v>
      </c>
      <c r="CC3" s="80">
        <f>(CC5*CC6*CC7)/((1-EXP(-CC7*CC6))*CC10*CC14*(CC9/365)*CC12*(CC13/24)*CC11)</f>
        <v>112.83222837913259</v>
      </c>
      <c r="CD3" s="155"/>
      <c r="CE3" s="231" t="s">
        <v>475</v>
      </c>
      <c r="CF3" s="80" t="e">
        <f>(CF5*CF6*CF7)/((1-EXP(-CF7*CF6))*CF10*CF14*(CF9/365)*CF12*(CF13/24)*CF11)</f>
        <v>#DIV/0!</v>
      </c>
      <c r="CG3" s="155"/>
      <c r="CH3" s="231" t="s">
        <v>475</v>
      </c>
      <c r="CI3" s="80" t="e">
        <f>(CI5*CI6*CI7)/((1-EXP(-CI7*CI6))*CI10*CI14*(CI9/365)*CI12*(CI13/24)*CI11)</f>
        <v>#DIV/0!</v>
      </c>
      <c r="CJ3" s="79"/>
      <c r="CK3" s="231" t="s">
        <v>456</v>
      </c>
      <c r="CL3" s="80">
        <f>CL5/(CL6*CL7*CL8*CL9)</f>
        <v>12.820512820512821</v>
      </c>
      <c r="CM3" s="79"/>
      <c r="CN3" s="231" t="s">
        <v>456</v>
      </c>
      <c r="CO3" s="80" t="e">
        <f>CL3/(CO5*((CO10*CO12*CO13*(CO6+CO7))+(CO11*CO12)))</f>
        <v>#DIV/0!</v>
      </c>
      <c r="CP3" s="79"/>
      <c r="CQ3" s="231" t="s">
        <v>456</v>
      </c>
      <c r="CR3" s="80" t="e">
        <f>CL3/(CR5*CR6*(1/CR7))</f>
        <v>#DIV/0!</v>
      </c>
      <c r="CS3" s="79"/>
      <c r="CT3" s="385"/>
      <c r="CU3" s="388">
        <f>1/((1/CU14)+(1/CU15)+(1/CU16+(1/CU17)))</f>
        <v>0.11021182362877732</v>
      </c>
      <c r="CV3" s="389"/>
      <c r="CW3" s="266" t="s">
        <v>36</v>
      </c>
      <c r="CX3" s="176" t="e">
        <f>1/((1/CX20)+(1/CX21))</f>
        <v>#DIV/0!</v>
      </c>
      <c r="CY3" s="263"/>
      <c r="CZ3" s="270"/>
      <c r="DA3" s="182" t="e">
        <f>1/((1/DA13)+(1/DA14)+(1/DA15)+(1/DA16))</f>
        <v>#DIV/0!</v>
      </c>
      <c r="DB3" s="183"/>
      <c r="DC3" s="308"/>
      <c r="DD3" s="313">
        <f>DD7</f>
        <v>3.6255397522306138E-2</v>
      </c>
      <c r="DE3" s="309" t="s">
        <v>384</v>
      </c>
      <c r="DF3" s="30"/>
      <c r="DG3" s="33">
        <f>DD7/((1/DG24)*(DG5+DG6+DG7))</f>
        <v>2.8072815673160694</v>
      </c>
      <c r="DH3" s="186" t="s">
        <v>384</v>
      </c>
      <c r="DI3" s="227"/>
      <c r="DJ3" s="33">
        <f>DD7/(DJ5+DJ6)</f>
        <v>0.13890956905098137</v>
      </c>
      <c r="DK3" s="186" t="s">
        <v>384</v>
      </c>
      <c r="DL3" s="227"/>
      <c r="DM3" s="33">
        <f>(DD7)/(DM5+DM6)</f>
        <v>0.13890956905098137</v>
      </c>
      <c r="DN3" s="186"/>
      <c r="DO3" s="227"/>
      <c r="DP3" s="33">
        <f>-(DP5+DP6+DP7)/(DP23+DP24)</f>
        <v>-49.702044174744607</v>
      </c>
      <c r="DQ3" s="34"/>
      <c r="DR3" s="24"/>
      <c r="DS3" s="25">
        <f>DS7</f>
        <v>4.8957546952735414E-3</v>
      </c>
      <c r="DT3" s="170" t="s">
        <v>384</v>
      </c>
      <c r="DU3" s="319"/>
      <c r="DV3" s="322">
        <f>DS7/(DV5*DV6)</f>
        <v>5.3214724948625454E-2</v>
      </c>
      <c r="DW3" s="323"/>
      <c r="DX3" s="314"/>
      <c r="DY3" s="322">
        <f>DS7/(DY9*((DY10*DY12*DY13*(DY5+DY6))+(DY11*DY12)))</f>
        <v>1.0562577551830725</v>
      </c>
      <c r="DZ3" s="323" t="s">
        <v>384</v>
      </c>
      <c r="EA3" s="314"/>
      <c r="EB3" s="322">
        <f>DS7/(EB9*((EB10*EB12*EB13*(EB5+EB6))+(EB11*EB12)))</f>
        <v>1.0562577551830725</v>
      </c>
      <c r="EC3" s="323"/>
      <c r="ED3" s="314"/>
      <c r="EE3" s="322">
        <f>-EE15/((EE10*EE12*EE13*(EE5+EE6))+(EE11*EE12))</f>
        <v>-19.848975188781015</v>
      </c>
      <c r="EF3" s="324"/>
      <c r="EG3" s="19"/>
      <c r="EH3" s="20">
        <f>EH7</f>
        <v>2.3118092282357412E-2</v>
      </c>
      <c r="EI3" s="189" t="s">
        <v>384</v>
      </c>
      <c r="EJ3" s="336"/>
      <c r="EK3" s="339">
        <f>EH7/(EK5*EK6)</f>
        <v>0.43619042042183798</v>
      </c>
      <c r="EL3" s="340"/>
      <c r="EM3" s="331"/>
      <c r="EN3" s="339">
        <f>EH7/(EN9*((EN10*EN12*EN13*(EN5+EN6))+(EN11*EN12)))</f>
        <v>6.9371619752010236</v>
      </c>
      <c r="EO3" s="340" t="s">
        <v>384</v>
      </c>
      <c r="EP3" s="331"/>
      <c r="EQ3" s="339">
        <f>EH7/(EQ9*((EQ10*EQ12*EQ13*(EQ5+EQ6))+(EQ11*EQ12)))</f>
        <v>6.9371619752010236</v>
      </c>
      <c r="ER3" s="340"/>
      <c r="ES3" s="331"/>
      <c r="ET3" s="339">
        <f>-ET15/((ET10*ET12*ET13*(ET5+ET6))+(ET11*ET12))</f>
        <v>-15.9039759939985</v>
      </c>
      <c r="EU3" s="341"/>
      <c r="EV3" s="191"/>
      <c r="EW3" s="39">
        <f>EW7</f>
        <v>7.7075115507090911E-2</v>
      </c>
      <c r="EX3" s="191" t="s">
        <v>384</v>
      </c>
      <c r="EY3" s="198"/>
      <c r="EZ3" s="199" t="e">
        <f>EW7/(EZ5*EZ6*(1/EZ7))</f>
        <v>#DIV/0!</v>
      </c>
      <c r="FA3" s="199"/>
      <c r="FB3" s="223"/>
      <c r="FC3" s="199" t="e">
        <f>EW7/(FC9*((FC10*FC12*FC13*(FC5+FC6))+(FC11*FC12)))</f>
        <v>#DIV/0!</v>
      </c>
      <c r="FD3" s="220" t="s">
        <v>384</v>
      </c>
      <c r="FE3" s="225"/>
      <c r="FF3" s="199">
        <f>EW7/(FF9*(FF10*FF12*FF13*(FF5*FF6))+(FF11*FF12))</f>
        <v>3.5034143412314052</v>
      </c>
      <c r="FG3" s="199"/>
      <c r="FH3" s="223"/>
      <c r="FI3" s="199">
        <f>FI15/((FI10*FI12*FI13*(FI5+FI6))+(FI11*FI12))</f>
        <v>5.4794520547945202</v>
      </c>
      <c r="FJ3" s="203"/>
      <c r="FK3" s="47"/>
      <c r="FL3" s="48">
        <f>FL7</f>
        <v>2.5137810296998069E-2</v>
      </c>
      <c r="FM3" s="49"/>
      <c r="FN3" s="210"/>
      <c r="FO3" s="211">
        <f>FL7/(FR5*(1/FO7))</f>
        <v>0.50275620593996129</v>
      </c>
      <c r="FP3" s="211"/>
      <c r="FQ3" s="218"/>
      <c r="FR3" s="211">
        <f>(FL7*FR6)/FR5</f>
        <v>4.1226008887076835E-3</v>
      </c>
      <c r="FS3" s="211"/>
      <c r="FT3" s="218"/>
      <c r="FU3" s="211">
        <f>(FL7*FU15)/FU14</f>
        <v>4.1226008887076835E-3</v>
      </c>
      <c r="FV3" s="211"/>
      <c r="FW3" s="218"/>
      <c r="FX3" s="211">
        <f>-FX29/FX30</f>
        <v>-8.199999999999999E-3</v>
      </c>
      <c r="FY3" s="212"/>
      <c r="FZ3" s="59"/>
      <c r="GA3" s="60">
        <f>GA7</f>
        <v>3.2159950376756029E-2</v>
      </c>
      <c r="GB3" s="61" t="s">
        <v>384</v>
      </c>
      <c r="GC3" s="278"/>
      <c r="GD3" s="279" t="e">
        <f>FL7/(GD5*GD6*(1/GD7))</f>
        <v>#DIV/0!</v>
      </c>
      <c r="GE3" s="279"/>
      <c r="GF3" s="286"/>
      <c r="GG3" s="279" t="e">
        <f>GA7/((GG9)*((GG10*GG12*GG13*(GG5+GG6))+(GG11*GG12)))</f>
        <v>#DIV/0!</v>
      </c>
      <c r="GH3" s="279" t="s">
        <v>384</v>
      </c>
      <c r="GI3" s="286"/>
      <c r="GJ3" s="279">
        <f>FL7/(GJ9*(GJ10*GJ12*GJ13*(GJ5*GJ6))+(GJ11*GJ12))</f>
        <v>1.1426277407726395</v>
      </c>
      <c r="GK3" s="279"/>
      <c r="GL3" s="286"/>
      <c r="GM3" s="279">
        <f>GM15/((GM10*GM12*GM13*(GM5+GM6))+(GM11*GM12))</f>
        <v>5.4794520547945202</v>
      </c>
      <c r="GN3" s="280"/>
      <c r="GO3" s="70"/>
      <c r="GP3" s="71">
        <f>GP7</f>
        <v>4.14016206749485E-2</v>
      </c>
      <c r="GQ3" s="72" t="s">
        <v>384</v>
      </c>
      <c r="GR3" s="292"/>
      <c r="GS3" s="293" t="e">
        <f>GP7/(GS5*GS6*(1/GS7))</f>
        <v>#DIV/0!</v>
      </c>
      <c r="GT3" s="293"/>
      <c r="GU3" s="298"/>
      <c r="GV3" s="293" t="e">
        <f>GP7/((GV9)*((GV10*GV12*GV13*(GV5+GV6))+(GV11*GV12)))</f>
        <v>#DIV/0!</v>
      </c>
      <c r="GW3" s="293" t="s">
        <v>384</v>
      </c>
      <c r="GX3" s="298"/>
      <c r="GY3" s="293" t="e">
        <f>GP7/((GY9*((GY10*GY12*GY13*(GY5+GY6))+(GY11*GY12))))</f>
        <v>#DIV/0!</v>
      </c>
      <c r="GZ3" s="293"/>
      <c r="HA3" s="298"/>
      <c r="HB3" s="293">
        <f>GP7/((HB10*HB12*HB13*(HB5+HB6))+(HB11*HB12))</f>
        <v>2.6395677829103278E-2</v>
      </c>
      <c r="HC3" s="300"/>
      <c r="HD3" s="302">
        <f>HE5*HE13*10^-3*(HE14+(HE9/HE10))*((HE11*HE7)/(1-EXP(-HE7*HE11)))</f>
        <v>1.2671079031257728</v>
      </c>
      <c r="HE3" s="303"/>
      <c r="HF3" s="162" t="s">
        <v>38</v>
      </c>
    </row>
    <row r="4" spans="1:214" ht="14.25" thickTop="1" thickBot="1" x14ac:dyDescent="0.25">
      <c r="A4" s="439" t="s">
        <v>425</v>
      </c>
      <c r="B4" s="440"/>
      <c r="C4" s="441"/>
      <c r="D4" s="425" t="s">
        <v>37</v>
      </c>
      <c r="E4" s="409" t="e">
        <f>1/((1/E22)+(1/E23))</f>
        <v>#DIV/0!</v>
      </c>
      <c r="F4" s="256"/>
      <c r="G4" s="262"/>
      <c r="H4" s="116"/>
      <c r="I4" s="255"/>
      <c r="J4" s="259" t="s">
        <v>0</v>
      </c>
      <c r="K4" s="112" t="s">
        <v>33</v>
      </c>
      <c r="L4" s="113"/>
      <c r="M4" s="124"/>
      <c r="N4" s="125"/>
      <c r="O4" s="169"/>
      <c r="P4" s="254"/>
      <c r="Q4" s="125"/>
      <c r="R4" s="169"/>
      <c r="S4" s="254"/>
      <c r="T4" s="125"/>
      <c r="U4" s="126"/>
      <c r="V4" s="130" t="s">
        <v>36</v>
      </c>
      <c r="W4" s="96" t="e">
        <f>1/((1/W16)+(1/W17))</f>
        <v>#DIV/0!</v>
      </c>
      <c r="X4" s="128"/>
      <c r="Y4" s="251" t="s">
        <v>36</v>
      </c>
      <c r="Z4" s="96" t="e">
        <f>1/((1/Z16)+(1/Z17))</f>
        <v>#DIV/0!</v>
      </c>
      <c r="AA4" s="97"/>
      <c r="AB4" s="239" t="s">
        <v>0</v>
      </c>
      <c r="AC4" s="246" t="s">
        <v>39</v>
      </c>
      <c r="AD4" s="241" t="s">
        <v>40</v>
      </c>
      <c r="AE4" s="246" t="s">
        <v>41</v>
      </c>
      <c r="AF4" s="247" t="s">
        <v>42</v>
      </c>
      <c r="AG4" s="242" t="s">
        <v>42</v>
      </c>
      <c r="AH4" s="166"/>
      <c r="AI4" s="138" t="s">
        <v>32</v>
      </c>
      <c r="AJ4" s="139"/>
      <c r="AK4" s="153"/>
      <c r="AL4" s="235" t="s">
        <v>32</v>
      </c>
      <c r="AM4" s="139"/>
      <c r="AN4" s="153"/>
      <c r="AO4" s="235" t="s">
        <v>32</v>
      </c>
      <c r="AP4" s="139"/>
      <c r="AQ4" s="140"/>
      <c r="AR4" s="146" t="s">
        <v>32</v>
      </c>
      <c r="AS4" s="147"/>
      <c r="AT4" s="154"/>
      <c r="AU4" s="238" t="s">
        <v>32</v>
      </c>
      <c r="AV4" s="147"/>
      <c r="AW4" s="154"/>
      <c r="AX4" s="238" t="s">
        <v>32</v>
      </c>
      <c r="AY4" s="147"/>
      <c r="AZ4" s="148"/>
      <c r="BA4" s="146" t="s">
        <v>32</v>
      </c>
      <c r="BB4" s="147"/>
      <c r="BC4" s="154"/>
      <c r="BD4" s="238" t="s">
        <v>32</v>
      </c>
      <c r="BE4" s="147"/>
      <c r="BF4" s="154"/>
      <c r="BG4" s="238" t="s">
        <v>32</v>
      </c>
      <c r="BH4" s="147"/>
      <c r="BI4" s="148"/>
      <c r="BJ4" s="146" t="s">
        <v>32</v>
      </c>
      <c r="BK4" s="147"/>
      <c r="BL4" s="154"/>
      <c r="BM4" s="238" t="s">
        <v>32</v>
      </c>
      <c r="BN4" s="147"/>
      <c r="BO4" s="154"/>
      <c r="BP4" s="238" t="s">
        <v>32</v>
      </c>
      <c r="BQ4" s="147"/>
      <c r="BR4" s="148"/>
      <c r="BS4" s="232" t="s">
        <v>37</v>
      </c>
      <c r="BT4" s="81" t="e">
        <f>1/((1/BT23)+(1/BT24))</f>
        <v>#DIV/0!</v>
      </c>
      <c r="BU4" s="156"/>
      <c r="BV4" s="232"/>
      <c r="BW4" s="81"/>
      <c r="BX4" s="156"/>
      <c r="BY4" s="232" t="s">
        <v>0</v>
      </c>
      <c r="BZ4" s="81" t="s">
        <v>33</v>
      </c>
      <c r="CA4" s="156"/>
      <c r="CB4" s="232"/>
      <c r="CC4" s="81"/>
      <c r="CD4" s="156"/>
      <c r="CE4" s="232"/>
      <c r="CF4" s="81"/>
      <c r="CG4" s="156"/>
      <c r="CH4" s="232"/>
      <c r="CI4" s="81"/>
      <c r="CJ4" s="82"/>
      <c r="CK4" s="232"/>
      <c r="CL4" s="81"/>
      <c r="CM4" s="82"/>
      <c r="CN4" s="232"/>
      <c r="CO4" s="81"/>
      <c r="CP4" s="82"/>
      <c r="CQ4" s="232"/>
      <c r="CR4" s="81"/>
      <c r="CS4" s="82"/>
      <c r="CT4" s="390" t="s">
        <v>0</v>
      </c>
      <c r="CU4" s="391" t="s">
        <v>9</v>
      </c>
      <c r="CV4" s="392"/>
      <c r="CW4" s="267" t="s">
        <v>37</v>
      </c>
      <c r="CX4" s="177" t="e">
        <f>1/((1/CX22)+(1/CX23))</f>
        <v>#DIV/0!</v>
      </c>
      <c r="CY4" s="264"/>
      <c r="CZ4" s="271"/>
      <c r="DA4" s="184"/>
      <c r="DB4" s="185"/>
      <c r="DC4" s="310"/>
      <c r="DD4" s="311"/>
      <c r="DE4" s="312"/>
      <c r="DF4" s="35"/>
      <c r="DG4" s="36"/>
      <c r="DH4" s="173"/>
      <c r="DI4" s="229"/>
      <c r="DJ4" s="36"/>
      <c r="DK4" s="187"/>
      <c r="DL4" s="229"/>
      <c r="DM4" s="36"/>
      <c r="DN4" s="173"/>
      <c r="DO4" s="229"/>
      <c r="DP4" s="36"/>
      <c r="DQ4" s="228"/>
      <c r="DR4" s="188"/>
      <c r="DS4" s="26"/>
      <c r="DT4" s="171"/>
      <c r="DU4" s="325"/>
      <c r="DV4" s="326"/>
      <c r="DW4" s="327"/>
      <c r="DX4" s="328"/>
      <c r="DY4" s="326"/>
      <c r="DZ4" s="329"/>
      <c r="EA4" s="328"/>
      <c r="EB4" s="326"/>
      <c r="EC4" s="327"/>
      <c r="ED4" s="328"/>
      <c r="EE4" s="326"/>
      <c r="EF4" s="330"/>
      <c r="EG4" s="172"/>
      <c r="EH4" s="21"/>
      <c r="EI4" s="190"/>
      <c r="EJ4" s="342"/>
      <c r="EK4" s="343"/>
      <c r="EL4" s="344"/>
      <c r="EM4" s="345"/>
      <c r="EN4" s="343"/>
      <c r="EO4" s="346"/>
      <c r="EP4" s="345"/>
      <c r="EQ4" s="343"/>
      <c r="ER4" s="344"/>
      <c r="ES4" s="345"/>
      <c r="ET4" s="343"/>
      <c r="EU4" s="347"/>
      <c r="EV4" s="40"/>
      <c r="EW4" s="40"/>
      <c r="EX4" s="40"/>
      <c r="EY4" s="200"/>
      <c r="EZ4" s="201"/>
      <c r="FA4" s="201"/>
      <c r="FB4" s="224"/>
      <c r="FC4" s="201"/>
      <c r="FD4" s="201"/>
      <c r="FE4" s="224"/>
      <c r="FF4" s="201"/>
      <c r="FG4" s="201"/>
      <c r="FH4" s="224"/>
      <c r="FI4" s="201"/>
      <c r="FJ4" s="202"/>
      <c r="FK4" s="50"/>
      <c r="FL4" s="51" t="s">
        <v>384</v>
      </c>
      <c r="FM4" s="52"/>
      <c r="FN4" s="213"/>
      <c r="FO4" s="214"/>
      <c r="FP4" s="214"/>
      <c r="FQ4" s="219"/>
      <c r="FR4" s="214" t="s">
        <v>384</v>
      </c>
      <c r="FS4" s="214"/>
      <c r="FT4" s="219"/>
      <c r="FU4" s="214"/>
      <c r="FV4" s="214"/>
      <c r="FW4" s="219"/>
      <c r="FX4" s="214"/>
      <c r="FY4" s="215"/>
      <c r="FZ4" s="62"/>
      <c r="GA4" s="63"/>
      <c r="GB4" s="64"/>
      <c r="GC4" s="281"/>
      <c r="GD4" s="282"/>
      <c r="GE4" s="282"/>
      <c r="GF4" s="287"/>
      <c r="GG4" s="282"/>
      <c r="GH4" s="282"/>
      <c r="GI4" s="287"/>
      <c r="GJ4" s="282"/>
      <c r="GK4" s="282"/>
      <c r="GL4" s="287"/>
      <c r="GM4" s="282"/>
      <c r="GN4" s="283"/>
      <c r="GO4" s="73"/>
      <c r="GP4" s="74"/>
      <c r="GQ4" s="75"/>
      <c r="GR4" s="294"/>
      <c r="GS4" s="295"/>
      <c r="GT4" s="295"/>
      <c r="GU4" s="299"/>
      <c r="GV4" s="295"/>
      <c r="GW4" s="295"/>
      <c r="GX4" s="299"/>
      <c r="GY4" s="295"/>
      <c r="GZ4" s="295"/>
      <c r="HA4" s="299"/>
      <c r="HB4" s="295"/>
      <c r="HC4" s="301"/>
      <c r="HD4" s="304" t="e">
        <f>HE6*HE13*10^-3*(HE14+(HE9/HE10))*((HE11*HE7)/(1-EXP(-HE7*HE11)))</f>
        <v>#DIV/0!</v>
      </c>
      <c r="HE4" s="305"/>
      <c r="HF4" s="306" t="s">
        <v>43</v>
      </c>
    </row>
    <row r="5" spans="1:214" ht="13.5" thickTop="1" x14ac:dyDescent="0.2">
      <c r="A5" s="420" t="s">
        <v>486</v>
      </c>
      <c r="B5" s="415">
        <v>5.8099999999999999E-2</v>
      </c>
      <c r="C5" s="416"/>
      <c r="D5" t="s">
        <v>485</v>
      </c>
      <c r="E5" s="1">
        <v>1</v>
      </c>
      <c r="G5" t="s">
        <v>485</v>
      </c>
      <c r="H5" s="1">
        <v>1</v>
      </c>
      <c r="J5" t="s">
        <v>485</v>
      </c>
      <c r="K5" s="1">
        <v>1</v>
      </c>
      <c r="M5" t="s">
        <v>485</v>
      </c>
      <c r="N5" s="1">
        <v>1</v>
      </c>
      <c r="P5" t="s">
        <v>485</v>
      </c>
      <c r="Q5" s="1">
        <v>1</v>
      </c>
      <c r="S5" t="s">
        <v>485</v>
      </c>
      <c r="T5" s="1">
        <v>1</v>
      </c>
      <c r="V5" t="s">
        <v>458</v>
      </c>
      <c r="W5" s="1">
        <v>1</v>
      </c>
      <c r="X5" t="s">
        <v>459</v>
      </c>
      <c r="Y5" t="s">
        <v>458</v>
      </c>
      <c r="Z5" s="1">
        <v>1</v>
      </c>
      <c r="AA5" t="s">
        <v>459</v>
      </c>
      <c r="AB5" t="s">
        <v>458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t="s">
        <v>459</v>
      </c>
      <c r="AI5" t="s">
        <v>458</v>
      </c>
      <c r="AJ5" s="1">
        <v>1</v>
      </c>
      <c r="AK5" t="s">
        <v>459</v>
      </c>
      <c r="AL5" t="s">
        <v>458</v>
      </c>
      <c r="AM5" s="1">
        <v>1</v>
      </c>
      <c r="AN5" t="s">
        <v>459</v>
      </c>
      <c r="AO5" t="s">
        <v>458</v>
      </c>
      <c r="AP5" s="1">
        <v>1</v>
      </c>
      <c r="AQ5" t="s">
        <v>459</v>
      </c>
      <c r="AR5" t="s">
        <v>458</v>
      </c>
      <c r="AS5" s="1">
        <v>1</v>
      </c>
      <c r="AT5" t="s">
        <v>459</v>
      </c>
      <c r="AU5" t="s">
        <v>458</v>
      </c>
      <c r="AV5" s="1">
        <v>1</v>
      </c>
      <c r="AW5" t="s">
        <v>459</v>
      </c>
      <c r="AX5" t="s">
        <v>458</v>
      </c>
      <c r="AY5" s="1">
        <v>1</v>
      </c>
      <c r="AZ5" t="s">
        <v>459</v>
      </c>
      <c r="BA5" t="s">
        <v>458</v>
      </c>
      <c r="BB5" s="1">
        <v>1</v>
      </c>
      <c r="BC5" t="s">
        <v>459</v>
      </c>
      <c r="BD5" t="s">
        <v>458</v>
      </c>
      <c r="BE5" s="1">
        <v>1</v>
      </c>
      <c r="BF5" t="s">
        <v>459</v>
      </c>
      <c r="BG5" t="s">
        <v>458</v>
      </c>
      <c r="BH5" s="1">
        <v>1</v>
      </c>
      <c r="BI5" t="s">
        <v>459</v>
      </c>
      <c r="BJ5" t="s">
        <v>458</v>
      </c>
      <c r="BK5" s="1">
        <v>1</v>
      </c>
      <c r="BL5" t="s">
        <v>459</v>
      </c>
      <c r="BM5" t="s">
        <v>458</v>
      </c>
      <c r="BN5" s="1">
        <v>1</v>
      </c>
      <c r="BO5" t="s">
        <v>459</v>
      </c>
      <c r="BP5" t="s">
        <v>458</v>
      </c>
      <c r="BQ5" s="1">
        <v>1</v>
      </c>
      <c r="BR5" t="s">
        <v>459</v>
      </c>
      <c r="BS5" t="s">
        <v>458</v>
      </c>
      <c r="BT5" s="1">
        <v>1</v>
      </c>
      <c r="BU5" t="s">
        <v>459</v>
      </c>
      <c r="BV5" t="s">
        <v>458</v>
      </c>
      <c r="BW5" s="1">
        <v>1</v>
      </c>
      <c r="BX5" t="s">
        <v>459</v>
      </c>
      <c r="BY5" t="s">
        <v>458</v>
      </c>
      <c r="BZ5" s="1">
        <v>1</v>
      </c>
      <c r="CA5" t="s">
        <v>459</v>
      </c>
      <c r="CB5" t="s">
        <v>458</v>
      </c>
      <c r="CC5" s="1">
        <v>1</v>
      </c>
      <c r="CD5" t="s">
        <v>459</v>
      </c>
      <c r="CE5" t="s">
        <v>458</v>
      </c>
      <c r="CF5" s="1">
        <v>1</v>
      </c>
      <c r="CG5" t="s">
        <v>459</v>
      </c>
      <c r="CH5" t="s">
        <v>458</v>
      </c>
      <c r="CI5" s="1">
        <v>1</v>
      </c>
      <c r="CJ5" t="s">
        <v>459</v>
      </c>
      <c r="CK5" t="s">
        <v>485</v>
      </c>
      <c r="CL5" s="1">
        <v>1</v>
      </c>
      <c r="CM5" s="2"/>
      <c r="CN5" t="s">
        <v>395</v>
      </c>
      <c r="CO5" s="1">
        <f>B39</f>
        <v>0</v>
      </c>
      <c r="CQ5" t="s">
        <v>395</v>
      </c>
      <c r="CR5">
        <f>CO5</f>
        <v>0</v>
      </c>
      <c r="CT5" t="s">
        <v>458</v>
      </c>
      <c r="CU5" s="1">
        <v>1</v>
      </c>
      <c r="CV5" t="s">
        <v>459</v>
      </c>
      <c r="CW5" t="s">
        <v>458</v>
      </c>
      <c r="CX5" s="1">
        <v>1</v>
      </c>
      <c r="CY5" t="s">
        <v>459</v>
      </c>
      <c r="CZ5" t="s">
        <v>458</v>
      </c>
      <c r="DA5" s="1">
        <v>1</v>
      </c>
      <c r="DB5" t="s">
        <v>459</v>
      </c>
      <c r="DC5" t="s">
        <v>458</v>
      </c>
      <c r="DD5" s="1">
        <v>1</v>
      </c>
      <c r="DE5" t="s">
        <v>459</v>
      </c>
      <c r="DF5" t="s">
        <v>44</v>
      </c>
      <c r="DG5">
        <f>(DG8*DG9*DG10*((1-EXP(-DG11*DG12))))/(DG13*DG11)</f>
        <v>3.5526527193007473E-2</v>
      </c>
      <c r="DH5" t="s">
        <v>45</v>
      </c>
      <c r="DI5" t="s">
        <v>46</v>
      </c>
      <c r="DJ5">
        <f>DJ7</f>
        <v>1E-3</v>
      </c>
      <c r="DL5" t="s">
        <v>46</v>
      </c>
      <c r="DM5">
        <f>DM7</f>
        <v>1E-3</v>
      </c>
      <c r="DO5" t="s">
        <v>44</v>
      </c>
      <c r="DP5">
        <f>(DP8*DP9*DP10*((1-EXP(-DP11*DP12))))/(DP13*DP11)</f>
        <v>3.5746410762351036E-2</v>
      </c>
      <c r="DQ5" t="s">
        <v>45</v>
      </c>
      <c r="DR5" t="s">
        <v>458</v>
      </c>
      <c r="DS5" s="1">
        <v>1</v>
      </c>
      <c r="DT5" t="s">
        <v>459</v>
      </c>
      <c r="DU5" t="s">
        <v>317</v>
      </c>
      <c r="DV5" s="1">
        <f>B35</f>
        <v>1E-3</v>
      </c>
      <c r="DX5" t="s">
        <v>47</v>
      </c>
      <c r="DY5">
        <f>DY7</f>
        <v>0</v>
      </c>
      <c r="EA5" t="s">
        <v>47</v>
      </c>
      <c r="EB5">
        <f>EB7</f>
        <v>0</v>
      </c>
      <c r="ED5" t="s">
        <v>47</v>
      </c>
      <c r="EE5">
        <f>EE7</f>
        <v>0</v>
      </c>
      <c r="EG5" t="s">
        <v>458</v>
      </c>
      <c r="EH5" s="1">
        <v>1</v>
      </c>
      <c r="EI5" t="s">
        <v>459</v>
      </c>
      <c r="EJ5" t="s">
        <v>318</v>
      </c>
      <c r="EK5" s="1">
        <f>B36</f>
        <v>1E-3</v>
      </c>
      <c r="EM5" t="s">
        <v>47</v>
      </c>
      <c r="EN5">
        <f>EN7</f>
        <v>0</v>
      </c>
      <c r="EP5" t="s">
        <v>47</v>
      </c>
      <c r="EQ5">
        <f>EQ7</f>
        <v>0</v>
      </c>
      <c r="ES5" t="s">
        <v>47</v>
      </c>
      <c r="ET5">
        <f>ET7</f>
        <v>0</v>
      </c>
      <c r="EV5" t="s">
        <v>458</v>
      </c>
      <c r="EW5" s="1">
        <v>1</v>
      </c>
      <c r="EX5" t="s">
        <v>459</v>
      </c>
      <c r="EY5" t="s">
        <v>319</v>
      </c>
      <c r="EZ5" s="406">
        <f>B38</f>
        <v>0</v>
      </c>
      <c r="FB5" t="s">
        <v>47</v>
      </c>
      <c r="FC5">
        <f>FC7</f>
        <v>5.0000000000000001E-3</v>
      </c>
      <c r="FE5" t="s">
        <v>47</v>
      </c>
      <c r="FF5">
        <f>FF7</f>
        <v>5.0000000000000001E-3</v>
      </c>
      <c r="FH5" t="s">
        <v>47</v>
      </c>
      <c r="FI5">
        <f>FI7</f>
        <v>5.0000000000000001E-3</v>
      </c>
      <c r="FK5" t="s">
        <v>458</v>
      </c>
      <c r="FL5" s="1">
        <v>1</v>
      </c>
      <c r="FM5" t="s">
        <v>459</v>
      </c>
      <c r="FN5" t="s">
        <v>320</v>
      </c>
      <c r="FO5" s="17">
        <v>1</v>
      </c>
      <c r="FQ5" t="s">
        <v>186</v>
      </c>
      <c r="FR5" s="1">
        <f>B34</f>
        <v>50</v>
      </c>
      <c r="FT5" t="s">
        <v>47</v>
      </c>
      <c r="FU5">
        <f>FU7</f>
        <v>0.2</v>
      </c>
      <c r="FW5" t="s">
        <v>47</v>
      </c>
      <c r="FX5">
        <f>FX7</f>
        <v>0.2</v>
      </c>
      <c r="FZ5" t="s">
        <v>458</v>
      </c>
      <c r="GA5" s="1">
        <v>1</v>
      </c>
      <c r="GB5" t="s">
        <v>459</v>
      </c>
      <c r="GC5" t="s">
        <v>321</v>
      </c>
      <c r="GD5" s="406">
        <f>B37</f>
        <v>0</v>
      </c>
      <c r="GF5" t="s">
        <v>47</v>
      </c>
      <c r="GG5">
        <f>GG7</f>
        <v>5.0000000000000001E-3</v>
      </c>
      <c r="GI5" t="s">
        <v>47</v>
      </c>
      <c r="GJ5">
        <f>GJ7</f>
        <v>5.0000000000000001E-3</v>
      </c>
      <c r="GL5" t="s">
        <v>47</v>
      </c>
      <c r="GM5">
        <f>GM7</f>
        <v>5.0000000000000001E-3</v>
      </c>
      <c r="GO5" t="s">
        <v>458</v>
      </c>
      <c r="GP5" s="1">
        <v>1</v>
      </c>
      <c r="GQ5" t="s">
        <v>459</v>
      </c>
      <c r="GR5" t="s">
        <v>322</v>
      </c>
      <c r="GS5" s="406">
        <f>B39</f>
        <v>0</v>
      </c>
      <c r="GU5" t="s">
        <v>47</v>
      </c>
      <c r="GV5">
        <f>GV7</f>
        <v>5.0000000000000001E-3</v>
      </c>
      <c r="GX5" t="s">
        <v>47</v>
      </c>
      <c r="GY5">
        <f>GY7</f>
        <v>5.0000000000000001E-3</v>
      </c>
      <c r="HA5" t="s">
        <v>47</v>
      </c>
      <c r="HB5">
        <f>HB7</f>
        <v>5.0000000000000001E-3</v>
      </c>
      <c r="HD5" s="2" t="s">
        <v>48</v>
      </c>
      <c r="HE5">
        <v>15</v>
      </c>
      <c r="HF5" t="s">
        <v>24</v>
      </c>
    </row>
    <row r="6" spans="1:214" x14ac:dyDescent="0.2">
      <c r="A6" s="424" t="s">
        <v>426</v>
      </c>
      <c r="B6" s="417">
        <v>0.624</v>
      </c>
      <c r="C6" s="418"/>
      <c r="D6" t="s">
        <v>49</v>
      </c>
      <c r="E6" s="1">
        <f>0.693/E7</f>
        <v>6.3E-5</v>
      </c>
      <c r="G6" t="s">
        <v>437</v>
      </c>
      <c r="H6" s="1">
        <f>B18</f>
        <v>1.0399999999999999E-3</v>
      </c>
      <c r="I6" t="s">
        <v>61</v>
      </c>
      <c r="J6" t="s">
        <v>438</v>
      </c>
      <c r="K6" s="1">
        <f>B19</f>
        <v>1.0399999999999999E-3</v>
      </c>
      <c r="L6" t="s">
        <v>61</v>
      </c>
      <c r="M6" t="s">
        <v>58</v>
      </c>
      <c r="N6">
        <v>26</v>
      </c>
      <c r="O6" t="s">
        <v>59</v>
      </c>
      <c r="P6" t="s">
        <v>58</v>
      </c>
      <c r="Q6">
        <v>26</v>
      </c>
      <c r="R6" t="s">
        <v>59</v>
      </c>
      <c r="S6" t="s">
        <v>58</v>
      </c>
      <c r="T6">
        <v>26</v>
      </c>
      <c r="U6" t="s">
        <v>59</v>
      </c>
      <c r="V6" t="s">
        <v>49</v>
      </c>
      <c r="W6" s="1">
        <f>0.693/W7</f>
        <v>4.3312499999999997E-4</v>
      </c>
      <c r="Y6" t="s">
        <v>49</v>
      </c>
      <c r="Z6" s="1">
        <f>0.693/Z7</f>
        <v>4.3312499999999997E-4</v>
      </c>
      <c r="AC6">
        <v>1000</v>
      </c>
      <c r="AD6">
        <v>1000</v>
      </c>
      <c r="AE6">
        <v>1000</v>
      </c>
      <c r="AF6">
        <v>1000</v>
      </c>
      <c r="AG6">
        <v>1000</v>
      </c>
      <c r="AH6" t="s">
        <v>50</v>
      </c>
      <c r="AI6" t="s">
        <v>58</v>
      </c>
      <c r="AJ6">
        <v>25</v>
      </c>
      <c r="AK6" t="s">
        <v>59</v>
      </c>
      <c r="AL6" t="s">
        <v>58</v>
      </c>
      <c r="AM6">
        <v>25</v>
      </c>
      <c r="AN6" t="s">
        <v>59</v>
      </c>
      <c r="AO6" t="s">
        <v>58</v>
      </c>
      <c r="AP6">
        <v>25</v>
      </c>
      <c r="AQ6" t="s">
        <v>59</v>
      </c>
      <c r="AR6" t="s">
        <v>58</v>
      </c>
      <c r="AS6">
        <v>25</v>
      </c>
      <c r="AT6" t="s">
        <v>59</v>
      </c>
      <c r="AU6" t="s">
        <v>58</v>
      </c>
      <c r="AV6">
        <v>25</v>
      </c>
      <c r="AW6" t="s">
        <v>59</v>
      </c>
      <c r="AX6" t="s">
        <v>58</v>
      </c>
      <c r="AY6">
        <v>25</v>
      </c>
      <c r="AZ6" t="s">
        <v>59</v>
      </c>
      <c r="BA6" t="s">
        <v>58</v>
      </c>
      <c r="BB6">
        <v>25</v>
      </c>
      <c r="BC6" t="s">
        <v>59</v>
      </c>
      <c r="BD6" t="s">
        <v>58</v>
      </c>
      <c r="BE6">
        <v>25</v>
      </c>
      <c r="BF6" t="s">
        <v>59</v>
      </c>
      <c r="BG6" t="s">
        <v>58</v>
      </c>
      <c r="BH6">
        <v>25</v>
      </c>
      <c r="BI6" t="s">
        <v>59</v>
      </c>
      <c r="BJ6" t="s">
        <v>58</v>
      </c>
      <c r="BK6">
        <v>1</v>
      </c>
      <c r="BL6" t="s">
        <v>59</v>
      </c>
      <c r="BM6" t="s">
        <v>58</v>
      </c>
      <c r="BN6">
        <v>1</v>
      </c>
      <c r="BO6" t="s">
        <v>59</v>
      </c>
      <c r="BP6" t="s">
        <v>58</v>
      </c>
      <c r="BQ6">
        <v>1</v>
      </c>
      <c r="BR6" t="s">
        <v>59</v>
      </c>
      <c r="BS6" t="s">
        <v>49</v>
      </c>
      <c r="BT6" s="1">
        <f>0.693/BT7</f>
        <v>4.3312499999999997E-4</v>
      </c>
      <c r="BV6" t="s">
        <v>437</v>
      </c>
      <c r="BW6" s="1">
        <f>H6</f>
        <v>1.0399999999999999E-3</v>
      </c>
      <c r="BX6" t="s">
        <v>61</v>
      </c>
      <c r="BY6" t="s">
        <v>438</v>
      </c>
      <c r="BZ6" s="1">
        <f>K6</f>
        <v>1.0399999999999999E-3</v>
      </c>
      <c r="CA6" t="s">
        <v>61</v>
      </c>
      <c r="CB6" t="s">
        <v>58</v>
      </c>
      <c r="CC6">
        <v>26</v>
      </c>
      <c r="CD6" t="s">
        <v>59</v>
      </c>
      <c r="CE6" t="s">
        <v>58</v>
      </c>
      <c r="CF6">
        <v>26</v>
      </c>
      <c r="CG6" t="s">
        <v>59</v>
      </c>
      <c r="CH6" t="s">
        <v>58</v>
      </c>
      <c r="CI6">
        <v>26</v>
      </c>
      <c r="CJ6" t="s">
        <v>59</v>
      </c>
      <c r="CK6" t="s">
        <v>447</v>
      </c>
      <c r="CL6" s="1">
        <f>E35</f>
        <v>1.0399999999999999E-3</v>
      </c>
      <c r="CM6" t="s">
        <v>22</v>
      </c>
      <c r="CN6" t="s">
        <v>47</v>
      </c>
      <c r="CO6">
        <f>CO8</f>
        <v>5.0000000000000001E-3</v>
      </c>
      <c r="CQ6" t="s">
        <v>315</v>
      </c>
      <c r="CR6" s="17">
        <v>1</v>
      </c>
      <c r="CS6" t="s">
        <v>56</v>
      </c>
      <c r="CT6" t="s">
        <v>438</v>
      </c>
      <c r="CU6" s="1">
        <f>B19</f>
        <v>1.0399999999999999E-3</v>
      </c>
      <c r="CV6" t="s">
        <v>61</v>
      </c>
      <c r="CW6" t="s">
        <v>49</v>
      </c>
      <c r="CX6" s="1">
        <f>0.693/CX7</f>
        <v>4.3312499999999997E-4</v>
      </c>
      <c r="CZ6" t="s">
        <v>437</v>
      </c>
      <c r="DA6" s="1">
        <f>B18</f>
        <v>1.0399999999999999E-3</v>
      </c>
      <c r="DB6" t="s">
        <v>61</v>
      </c>
      <c r="DC6" t="s">
        <v>447</v>
      </c>
      <c r="DD6" s="1">
        <f>B28</f>
        <v>1.0399999999999999E-3</v>
      </c>
      <c r="DE6" t="s">
        <v>61</v>
      </c>
      <c r="DF6" t="s">
        <v>53</v>
      </c>
      <c r="DG6">
        <f>(DG8*DG9*DG14*((1-EXP(-DG11*DG12))))/(DG13*DG11)</f>
        <v>9.2368970701819411</v>
      </c>
      <c r="DH6" t="s">
        <v>45</v>
      </c>
      <c r="DI6" t="s">
        <v>54</v>
      </c>
      <c r="DJ6">
        <f>DJ8</f>
        <v>0.26</v>
      </c>
      <c r="DL6" t="s">
        <v>54</v>
      </c>
      <c r="DM6">
        <f>DM8</f>
        <v>0.26</v>
      </c>
      <c r="DO6" t="s">
        <v>53</v>
      </c>
      <c r="DP6">
        <f>(DP8*DP9*DP14*((1-EXP(-DP11*DP12))))/(DP13*DP11)</f>
        <v>9.2940667982112686</v>
      </c>
      <c r="DQ6" t="s">
        <v>45</v>
      </c>
      <c r="DR6" t="s">
        <v>447</v>
      </c>
      <c r="DS6" s="1">
        <f>B28</f>
        <v>1.0399999999999999E-3</v>
      </c>
      <c r="DT6" t="s">
        <v>61</v>
      </c>
      <c r="DU6" t="s">
        <v>55</v>
      </c>
      <c r="DV6">
        <v>92</v>
      </c>
      <c r="DW6" t="s">
        <v>56</v>
      </c>
      <c r="DX6" t="s">
        <v>54</v>
      </c>
      <c r="DY6">
        <f>DY8</f>
        <v>0.25</v>
      </c>
      <c r="EA6" t="s">
        <v>54</v>
      </c>
      <c r="EB6">
        <f>EB8</f>
        <v>0.25</v>
      </c>
      <c r="ED6" t="s">
        <v>54</v>
      </c>
      <c r="EE6">
        <f>EE8</f>
        <v>0.25</v>
      </c>
      <c r="EG6" t="s">
        <v>447</v>
      </c>
      <c r="EH6" s="1">
        <f>B28</f>
        <v>1.0399999999999999E-3</v>
      </c>
      <c r="EI6" t="s">
        <v>61</v>
      </c>
      <c r="EJ6" t="s">
        <v>57</v>
      </c>
      <c r="EK6">
        <v>53</v>
      </c>
      <c r="EL6" t="s">
        <v>56</v>
      </c>
      <c r="EM6" t="s">
        <v>54</v>
      </c>
      <c r="EN6">
        <f>EN8</f>
        <v>0.25</v>
      </c>
      <c r="EP6" t="s">
        <v>54</v>
      </c>
      <c r="EQ6">
        <f>EQ8</f>
        <v>0.25</v>
      </c>
      <c r="ES6" t="s">
        <v>54</v>
      </c>
      <c r="ET6">
        <f>ET8</f>
        <v>0.25</v>
      </c>
      <c r="EV6" t="s">
        <v>447</v>
      </c>
      <c r="EW6" s="1">
        <f>B28</f>
        <v>1.0399999999999999E-3</v>
      </c>
      <c r="EX6" t="s">
        <v>61</v>
      </c>
      <c r="EY6" t="s">
        <v>271</v>
      </c>
      <c r="EZ6">
        <v>0.4</v>
      </c>
      <c r="FA6" t="s">
        <v>56</v>
      </c>
      <c r="FB6" t="s">
        <v>54</v>
      </c>
      <c r="FC6">
        <f>FC8</f>
        <v>0.25</v>
      </c>
      <c r="FE6" t="s">
        <v>54</v>
      </c>
      <c r="FF6">
        <f>FF8</f>
        <v>0.25</v>
      </c>
      <c r="FH6" t="s">
        <v>54</v>
      </c>
      <c r="FI6">
        <f>FI8</f>
        <v>0.25</v>
      </c>
      <c r="FK6" t="s">
        <v>447</v>
      </c>
      <c r="FL6" s="1">
        <f>B28</f>
        <v>1.0399999999999999E-3</v>
      </c>
      <c r="FM6" t="s">
        <v>61</v>
      </c>
      <c r="FN6" t="s">
        <v>274</v>
      </c>
      <c r="FO6" s="17">
        <v>1</v>
      </c>
      <c r="FP6" t="s">
        <v>56</v>
      </c>
      <c r="FQ6" t="s">
        <v>296</v>
      </c>
      <c r="FR6" s="1">
        <v>8.1999999999999993</v>
      </c>
      <c r="FT6" t="s">
        <v>54</v>
      </c>
      <c r="FU6">
        <f>FU8</f>
        <v>0.25</v>
      </c>
      <c r="FW6" t="s">
        <v>54</v>
      </c>
      <c r="FX6">
        <f>FX8</f>
        <v>0.25</v>
      </c>
      <c r="FZ6" t="s">
        <v>447</v>
      </c>
      <c r="GA6" s="1">
        <f>B28</f>
        <v>1.0399999999999999E-3</v>
      </c>
      <c r="GB6" t="s">
        <v>61</v>
      </c>
      <c r="GC6" t="s">
        <v>272</v>
      </c>
      <c r="GD6">
        <v>0.4</v>
      </c>
      <c r="GE6" t="s">
        <v>56</v>
      </c>
      <c r="GF6" t="s">
        <v>54</v>
      </c>
      <c r="GG6">
        <f>GG8</f>
        <v>0.25</v>
      </c>
      <c r="GI6" t="s">
        <v>54</v>
      </c>
      <c r="GJ6">
        <f>GJ8</f>
        <v>0.25</v>
      </c>
      <c r="GL6" t="s">
        <v>54</v>
      </c>
      <c r="GM6">
        <f>GM8</f>
        <v>0.25</v>
      </c>
      <c r="GO6" t="s">
        <v>447</v>
      </c>
      <c r="GP6" s="1">
        <f>B28</f>
        <v>1.0399999999999999E-3</v>
      </c>
      <c r="GQ6" t="s">
        <v>61</v>
      </c>
      <c r="GR6" t="s">
        <v>273</v>
      </c>
      <c r="GS6">
        <v>11.4</v>
      </c>
      <c r="GT6" t="s">
        <v>56</v>
      </c>
      <c r="GU6" t="s">
        <v>54</v>
      </c>
      <c r="GV6">
        <f>GV8</f>
        <v>0.25</v>
      </c>
      <c r="GX6" t="s">
        <v>54</v>
      </c>
      <c r="GY6">
        <f>GY8</f>
        <v>0.25</v>
      </c>
      <c r="HA6" t="s">
        <v>54</v>
      </c>
      <c r="HB6">
        <f>HB8</f>
        <v>0.25</v>
      </c>
      <c r="HD6" t="s">
        <v>456</v>
      </c>
      <c r="HE6" s="1" t="e">
        <f>H3</f>
        <v>#DIV/0!</v>
      </c>
      <c r="HF6" t="s">
        <v>24</v>
      </c>
    </row>
    <row r="7" spans="1:214" x14ac:dyDescent="0.2">
      <c r="A7" s="424" t="s">
        <v>487</v>
      </c>
      <c r="B7" s="417">
        <v>6.8599999999999994E-2</v>
      </c>
      <c r="C7" s="418"/>
      <c r="D7" t="s">
        <v>411</v>
      </c>
      <c r="E7" s="1">
        <v>11000</v>
      </c>
      <c r="F7" t="s">
        <v>119</v>
      </c>
      <c r="G7" t="s">
        <v>436</v>
      </c>
      <c r="H7" s="1">
        <f>B17</f>
        <v>1.2999999999999999E-2</v>
      </c>
      <c r="I7" t="s">
        <v>61</v>
      </c>
      <c r="J7" t="s">
        <v>436</v>
      </c>
      <c r="K7" s="1">
        <f>B17</f>
        <v>1.2999999999999999E-2</v>
      </c>
      <c r="L7" t="s">
        <v>61</v>
      </c>
      <c r="M7" t="s">
        <v>49</v>
      </c>
      <c r="N7" s="1">
        <f>0.693/N8</f>
        <v>4.3312499999999997E-4</v>
      </c>
      <c r="P7" t="s">
        <v>49</v>
      </c>
      <c r="Q7" s="1">
        <f>0.693/Q8</f>
        <v>4.3312499999999997E-4</v>
      </c>
      <c r="S7" t="s">
        <v>49</v>
      </c>
      <c r="T7" s="1">
        <f>0.693/T8</f>
        <v>4.3312499999999997E-4</v>
      </c>
      <c r="V7" t="s">
        <v>411</v>
      </c>
      <c r="W7" s="1">
        <f>B29</f>
        <v>1600</v>
      </c>
      <c r="X7" t="s">
        <v>119</v>
      </c>
      <c r="Y7" t="s">
        <v>411</v>
      </c>
      <c r="Z7" s="1">
        <f>B29</f>
        <v>1600</v>
      </c>
      <c r="AA7" t="s">
        <v>119</v>
      </c>
      <c r="AI7" t="s">
        <v>49</v>
      </c>
      <c r="AJ7" s="1">
        <f>0.693/AJ8</f>
        <v>4.3312499999999997E-4</v>
      </c>
      <c r="AL7" t="s">
        <v>49</v>
      </c>
      <c r="AM7" s="1">
        <f>0.693/AM8</f>
        <v>4.3312499999999997E-4</v>
      </c>
      <c r="AO7" t="s">
        <v>49</v>
      </c>
      <c r="AP7" s="1">
        <f>0.693/AP8</f>
        <v>4.3312499999999997E-4</v>
      </c>
      <c r="AR7" t="s">
        <v>49</v>
      </c>
      <c r="AS7" s="1">
        <f>0.693/AS8</f>
        <v>4.3312499999999997E-4</v>
      </c>
      <c r="AU7" t="s">
        <v>49</v>
      </c>
      <c r="AV7" s="1">
        <f>0.693/AV8</f>
        <v>4.3312499999999997E-4</v>
      </c>
      <c r="AX7" t="s">
        <v>49</v>
      </c>
      <c r="AY7" s="1">
        <f>0.693/AY8</f>
        <v>4.3312499999999997E-4</v>
      </c>
      <c r="BA7" t="s">
        <v>49</v>
      </c>
      <c r="BB7" s="1">
        <f>0.693/BB8</f>
        <v>4.3312499999999997E-4</v>
      </c>
      <c r="BD7" t="s">
        <v>49</v>
      </c>
      <c r="BE7" s="1">
        <f>0.693/BE8</f>
        <v>4.3312499999999997E-4</v>
      </c>
      <c r="BG7" t="s">
        <v>49</v>
      </c>
      <c r="BH7" s="1">
        <f>0.693/BH8</f>
        <v>4.3312499999999997E-4</v>
      </c>
      <c r="BJ7" t="s">
        <v>49</v>
      </c>
      <c r="BK7" s="1">
        <f>0.693/BK8</f>
        <v>4.3312499999999997E-4</v>
      </c>
      <c r="BM7" t="s">
        <v>49</v>
      </c>
      <c r="BN7" s="1">
        <f>0.693/BN8</f>
        <v>4.3312499999999997E-4</v>
      </c>
      <c r="BP7" t="s">
        <v>49</v>
      </c>
      <c r="BQ7" s="1">
        <f>0.693/BQ8</f>
        <v>4.3312499999999997E-4</v>
      </c>
      <c r="BS7" t="s">
        <v>411</v>
      </c>
      <c r="BT7" s="1">
        <f>B29</f>
        <v>1600</v>
      </c>
      <c r="BU7" t="s">
        <v>119</v>
      </c>
      <c r="BV7" t="s">
        <v>436</v>
      </c>
      <c r="BW7" s="1">
        <f>E10</f>
        <v>1.2999999999999999E-2</v>
      </c>
      <c r="BX7" t="s">
        <v>61</v>
      </c>
      <c r="BY7" t="s">
        <v>436</v>
      </c>
      <c r="BZ7" s="1">
        <f>E10</f>
        <v>1.2999999999999999E-2</v>
      </c>
      <c r="CA7" t="s">
        <v>61</v>
      </c>
      <c r="CB7" t="s">
        <v>49</v>
      </c>
      <c r="CC7" s="1">
        <f>0.693/CC8</f>
        <v>4.3312499999999997E-4</v>
      </c>
      <c r="CE7" t="s">
        <v>49</v>
      </c>
      <c r="CF7" s="1">
        <f>0.693/CF8</f>
        <v>4.3312499999999997E-4</v>
      </c>
      <c r="CH7" t="s">
        <v>49</v>
      </c>
      <c r="CI7" s="1">
        <f>0.693/CI8</f>
        <v>4.3312499999999997E-4</v>
      </c>
      <c r="CK7" t="s">
        <v>221</v>
      </c>
      <c r="CL7">
        <v>75</v>
      </c>
      <c r="CM7" t="s">
        <v>245</v>
      </c>
      <c r="CN7" t="s">
        <v>54</v>
      </c>
      <c r="CO7">
        <f>CO9</f>
        <v>0.25</v>
      </c>
      <c r="CR7">
        <v>1000</v>
      </c>
      <c r="CS7" t="s">
        <v>213</v>
      </c>
      <c r="CT7" t="s">
        <v>436</v>
      </c>
      <c r="CU7" s="1">
        <f>B17</f>
        <v>1.2999999999999999E-2</v>
      </c>
      <c r="CV7" t="s">
        <v>61</v>
      </c>
      <c r="CW7" t="s">
        <v>411</v>
      </c>
      <c r="CX7" s="1">
        <f>B29</f>
        <v>1600</v>
      </c>
      <c r="CY7" t="s">
        <v>119</v>
      </c>
      <c r="CZ7" t="s">
        <v>436</v>
      </c>
      <c r="DA7" s="1">
        <f>B17</f>
        <v>1.2999999999999999E-2</v>
      </c>
      <c r="DB7" t="s">
        <v>61</v>
      </c>
      <c r="DC7" t="s">
        <v>451</v>
      </c>
      <c r="DD7" s="16">
        <f>(DD5)/(DD6*(DD8+DD11)*DD21)</f>
        <v>3.6255397522306138E-2</v>
      </c>
      <c r="DE7" t="s">
        <v>22</v>
      </c>
      <c r="DF7" t="s">
        <v>62</v>
      </c>
      <c r="DG7">
        <f>(DG8*DG9*DG15*DG21*((1-EXP(-DG16*DG17))))/(DG18*DG16)</f>
        <v>3.6423470278489711</v>
      </c>
      <c r="DH7" t="s">
        <v>45</v>
      </c>
      <c r="DI7" t="s">
        <v>63</v>
      </c>
      <c r="DJ7">
        <f>B40</f>
        <v>1E-3</v>
      </c>
      <c r="DL7" t="s">
        <v>63</v>
      </c>
      <c r="DM7">
        <f>B40</f>
        <v>1E-3</v>
      </c>
      <c r="DO7" t="s">
        <v>62</v>
      </c>
      <c r="DP7">
        <f>(DP8*DP9*DP15*DP21*((1-EXP(-DP16*DP17))))/(DP18*DP16)</f>
        <v>3.6424203206347228</v>
      </c>
      <c r="DQ7" t="s">
        <v>45</v>
      </c>
      <c r="DR7" t="s">
        <v>451</v>
      </c>
      <c r="DS7" s="16">
        <f>DS5/(DS6*DS8*DS17)</f>
        <v>4.8957546952735414E-3</v>
      </c>
      <c r="DT7" t="s">
        <v>22</v>
      </c>
      <c r="DX7" t="s">
        <v>64</v>
      </c>
      <c r="DY7">
        <f>B41</f>
        <v>0</v>
      </c>
      <c r="EA7" t="s">
        <v>64</v>
      </c>
      <c r="EB7">
        <f>B41</f>
        <v>0</v>
      </c>
      <c r="ED7" t="s">
        <v>64</v>
      </c>
      <c r="EE7">
        <f>B41</f>
        <v>0</v>
      </c>
      <c r="EG7" t="s">
        <v>451</v>
      </c>
      <c r="EH7" s="16">
        <f>EH5/(EH6*EH8*EH17)</f>
        <v>2.3118092282357412E-2</v>
      </c>
      <c r="EI7" t="s">
        <v>22</v>
      </c>
      <c r="EM7" t="s">
        <v>64</v>
      </c>
      <c r="EN7">
        <f>B41</f>
        <v>0</v>
      </c>
      <c r="EP7" t="s">
        <v>64</v>
      </c>
      <c r="EQ7">
        <f>B41</f>
        <v>0</v>
      </c>
      <c r="ES7" t="s">
        <v>64</v>
      </c>
      <c r="ET7">
        <f>B41</f>
        <v>0</v>
      </c>
      <c r="EV7" t="s">
        <v>451</v>
      </c>
      <c r="EW7" s="16">
        <f>EW5/(EW6*EW8*EW17)</f>
        <v>7.7075115507090911E-2</v>
      </c>
      <c r="EX7" t="s">
        <v>22</v>
      </c>
      <c r="EZ7">
        <v>1000</v>
      </c>
      <c r="FA7" t="s">
        <v>213</v>
      </c>
      <c r="FB7" t="s">
        <v>64</v>
      </c>
      <c r="FC7">
        <v>5.0000000000000001E-3</v>
      </c>
      <c r="FE7" t="s">
        <v>64</v>
      </c>
      <c r="FF7">
        <v>5.0000000000000001E-3</v>
      </c>
      <c r="FH7" t="s">
        <v>64</v>
      </c>
      <c r="FI7">
        <v>5.0000000000000001E-3</v>
      </c>
      <c r="FK7" t="s">
        <v>451</v>
      </c>
      <c r="FL7" s="16">
        <f>FL5/(FL6*FL8*FL17)</f>
        <v>2.5137810296998069E-2</v>
      </c>
      <c r="FM7" t="s">
        <v>22</v>
      </c>
      <c r="FO7">
        <v>1000</v>
      </c>
      <c r="FP7" t="s">
        <v>213</v>
      </c>
      <c r="FT7" t="s">
        <v>64</v>
      </c>
      <c r="FU7">
        <v>0.2</v>
      </c>
      <c r="FW7" t="s">
        <v>64</v>
      </c>
      <c r="FX7">
        <v>0.2</v>
      </c>
      <c r="FZ7" t="s">
        <v>451</v>
      </c>
      <c r="GA7" s="16">
        <f>GA5/(GA6*GA8*GA17)</f>
        <v>3.2159950376756029E-2</v>
      </c>
      <c r="GB7" t="s">
        <v>22</v>
      </c>
      <c r="GD7">
        <v>1000</v>
      </c>
      <c r="GE7" t="s">
        <v>213</v>
      </c>
      <c r="GF7" t="s">
        <v>64</v>
      </c>
      <c r="GG7">
        <v>5.0000000000000001E-3</v>
      </c>
      <c r="GI7" t="s">
        <v>64</v>
      </c>
      <c r="GJ7">
        <v>5.0000000000000001E-3</v>
      </c>
      <c r="GL7" t="s">
        <v>64</v>
      </c>
      <c r="GM7">
        <v>5.0000000000000001E-3</v>
      </c>
      <c r="GO7" t="s">
        <v>451</v>
      </c>
      <c r="GP7" s="16">
        <f>GP5/(GP6*GP8*GP16)</f>
        <v>4.14016206749485E-2</v>
      </c>
      <c r="GQ7" t="s">
        <v>22</v>
      </c>
      <c r="GS7">
        <v>1000</v>
      </c>
      <c r="GT7" t="s">
        <v>213</v>
      </c>
      <c r="GU7" t="s">
        <v>64</v>
      </c>
      <c r="GV7">
        <v>5.0000000000000001E-3</v>
      </c>
      <c r="GX7" t="s">
        <v>64</v>
      </c>
      <c r="GY7">
        <v>5.0000000000000001E-3</v>
      </c>
      <c r="HA7" t="s">
        <v>64</v>
      </c>
      <c r="HB7">
        <v>5.0000000000000001E-3</v>
      </c>
      <c r="HD7" t="s">
        <v>49</v>
      </c>
      <c r="HE7" s="1">
        <f>0.693/HE8</f>
        <v>4.3312499999999997E-4</v>
      </c>
    </row>
    <row r="8" spans="1:214" x14ac:dyDescent="0.2">
      <c r="A8" s="424" t="s">
        <v>427</v>
      </c>
      <c r="B8" s="417">
        <v>0.73699999999999999</v>
      </c>
      <c r="C8" s="418"/>
      <c r="D8" t="s">
        <v>51</v>
      </c>
      <c r="E8">
        <v>350</v>
      </c>
      <c r="F8" t="s">
        <v>60</v>
      </c>
      <c r="G8" t="s">
        <v>446</v>
      </c>
      <c r="H8" s="1">
        <f>B27</f>
        <v>0</v>
      </c>
      <c r="I8" t="s">
        <v>61</v>
      </c>
      <c r="J8" t="s">
        <v>460</v>
      </c>
      <c r="K8" s="1">
        <f>B21</f>
        <v>10.6</v>
      </c>
      <c r="L8" t="s">
        <v>147</v>
      </c>
      <c r="M8" t="s">
        <v>411</v>
      </c>
      <c r="N8" s="1">
        <f>B29</f>
        <v>1600</v>
      </c>
      <c r="O8" t="s">
        <v>119</v>
      </c>
      <c r="P8" t="s">
        <v>411</v>
      </c>
      <c r="Q8" s="1">
        <f>B29</f>
        <v>1600</v>
      </c>
      <c r="R8" t="s">
        <v>119</v>
      </c>
      <c r="S8" t="s">
        <v>411</v>
      </c>
      <c r="T8" s="1">
        <f>B29</f>
        <v>1600</v>
      </c>
      <c r="U8" t="s">
        <v>119</v>
      </c>
      <c r="V8" t="s">
        <v>51</v>
      </c>
      <c r="W8">
        <v>225</v>
      </c>
      <c r="X8" t="s">
        <v>60</v>
      </c>
      <c r="Y8" t="s">
        <v>51</v>
      </c>
      <c r="Z8">
        <v>250</v>
      </c>
      <c r="AA8" t="s">
        <v>60</v>
      </c>
      <c r="AB8" t="s">
        <v>66</v>
      </c>
      <c r="AC8">
        <v>250</v>
      </c>
      <c r="AD8">
        <v>250</v>
      </c>
      <c r="AE8">
        <v>225</v>
      </c>
      <c r="AF8">
        <f>AF12*AF13</f>
        <v>250</v>
      </c>
      <c r="AG8">
        <f>AG12*AG13</f>
        <v>250</v>
      </c>
      <c r="AH8" t="s">
        <v>52</v>
      </c>
      <c r="AI8" t="s">
        <v>411</v>
      </c>
      <c r="AJ8" s="1">
        <f>B29</f>
        <v>1600</v>
      </c>
      <c r="AK8" t="s">
        <v>119</v>
      </c>
      <c r="AL8" t="s">
        <v>411</v>
      </c>
      <c r="AM8" s="1">
        <f>B29</f>
        <v>1600</v>
      </c>
      <c r="AN8" t="s">
        <v>119</v>
      </c>
      <c r="AO8" t="s">
        <v>411</v>
      </c>
      <c r="AP8" s="1">
        <f>B29</f>
        <v>1600</v>
      </c>
      <c r="AQ8" t="s">
        <v>119</v>
      </c>
      <c r="AR8" t="s">
        <v>411</v>
      </c>
      <c r="AS8" s="1">
        <f>B29</f>
        <v>1600</v>
      </c>
      <c r="AT8" t="s">
        <v>119</v>
      </c>
      <c r="AU8" t="s">
        <v>411</v>
      </c>
      <c r="AV8" s="1">
        <f>B29</f>
        <v>1600</v>
      </c>
      <c r="AW8" t="s">
        <v>119</v>
      </c>
      <c r="AX8" t="s">
        <v>411</v>
      </c>
      <c r="AY8" s="1">
        <f>B29</f>
        <v>1600</v>
      </c>
      <c r="AZ8" t="s">
        <v>119</v>
      </c>
      <c r="BA8" t="s">
        <v>411</v>
      </c>
      <c r="BB8" s="1">
        <f>B29</f>
        <v>1600</v>
      </c>
      <c r="BC8" t="s">
        <v>119</v>
      </c>
      <c r="BD8" t="s">
        <v>411</v>
      </c>
      <c r="BE8" s="1">
        <f>B29</f>
        <v>1600</v>
      </c>
      <c r="BF8" t="s">
        <v>119</v>
      </c>
      <c r="BG8" t="s">
        <v>411</v>
      </c>
      <c r="BH8" s="1">
        <f>B29</f>
        <v>1600</v>
      </c>
      <c r="BI8" t="s">
        <v>119</v>
      </c>
      <c r="BJ8" t="s">
        <v>411</v>
      </c>
      <c r="BK8" s="1">
        <f>B29</f>
        <v>1600</v>
      </c>
      <c r="BL8" t="s">
        <v>119</v>
      </c>
      <c r="BM8" t="s">
        <v>411</v>
      </c>
      <c r="BN8" s="1">
        <f>B29</f>
        <v>1600</v>
      </c>
      <c r="BO8" t="s">
        <v>119</v>
      </c>
      <c r="BP8" t="s">
        <v>411</v>
      </c>
      <c r="BQ8" s="1">
        <f>B29</f>
        <v>1600</v>
      </c>
      <c r="BR8" t="s">
        <v>119</v>
      </c>
      <c r="BS8" t="s">
        <v>51</v>
      </c>
      <c r="BT8">
        <v>75</v>
      </c>
      <c r="BU8" t="s">
        <v>60</v>
      </c>
      <c r="BV8" t="s">
        <v>446</v>
      </c>
      <c r="BW8" s="1">
        <f>H8</f>
        <v>0</v>
      </c>
      <c r="BX8" t="s">
        <v>61</v>
      </c>
      <c r="BY8" t="s">
        <v>460</v>
      </c>
      <c r="BZ8" s="1">
        <f>K8</f>
        <v>10.6</v>
      </c>
      <c r="CA8" t="s">
        <v>147</v>
      </c>
      <c r="CB8" t="s">
        <v>411</v>
      </c>
      <c r="CC8" s="1">
        <f>B29</f>
        <v>1600</v>
      </c>
      <c r="CD8" t="s">
        <v>119</v>
      </c>
      <c r="CE8" t="s">
        <v>411</v>
      </c>
      <c r="CF8" s="1">
        <f>B29</f>
        <v>1600</v>
      </c>
      <c r="CG8" t="s">
        <v>119</v>
      </c>
      <c r="CH8" t="s">
        <v>411</v>
      </c>
      <c r="CI8" s="1">
        <f>B29</f>
        <v>1600</v>
      </c>
      <c r="CJ8" t="s">
        <v>119</v>
      </c>
      <c r="CK8" t="s">
        <v>99</v>
      </c>
      <c r="CL8">
        <v>1</v>
      </c>
      <c r="CM8" t="s">
        <v>253</v>
      </c>
      <c r="CN8" t="s">
        <v>64</v>
      </c>
      <c r="CO8">
        <v>5.0000000000000001E-3</v>
      </c>
      <c r="CT8" t="s">
        <v>460</v>
      </c>
      <c r="CU8" s="1">
        <f>B21</f>
        <v>10.6</v>
      </c>
      <c r="CV8" t="s">
        <v>147</v>
      </c>
      <c r="CW8" t="s">
        <v>51</v>
      </c>
      <c r="CX8">
        <v>350</v>
      </c>
      <c r="CY8" t="s">
        <v>60</v>
      </c>
      <c r="CZ8" t="s">
        <v>461</v>
      </c>
      <c r="DA8" s="14">
        <f>B27</f>
        <v>0</v>
      </c>
      <c r="DB8" t="s">
        <v>61</v>
      </c>
      <c r="DC8" t="s">
        <v>469</v>
      </c>
      <c r="DD8" s="427">
        <f>(DD9*DD15*DD16*DD22)+(DD10*DD14*DD17*DD23)</f>
        <v>9024.75</v>
      </c>
      <c r="DE8" t="s">
        <v>213</v>
      </c>
      <c r="DF8" t="s">
        <v>68</v>
      </c>
      <c r="DG8">
        <v>3.62</v>
      </c>
      <c r="DH8" t="s">
        <v>69</v>
      </c>
      <c r="DI8" t="s">
        <v>70</v>
      </c>
      <c r="DJ8">
        <v>0.26</v>
      </c>
      <c r="DL8" t="s">
        <v>70</v>
      </c>
      <c r="DM8">
        <v>0.26</v>
      </c>
      <c r="DO8" t="s">
        <v>68</v>
      </c>
      <c r="DP8">
        <v>3.62</v>
      </c>
      <c r="DQ8" t="s">
        <v>69</v>
      </c>
      <c r="DR8" t="s">
        <v>257</v>
      </c>
      <c r="DS8" s="402">
        <f>(DS11*DS13*DS9*DS19)+(DS12*DS14*DS10*DS20)</f>
        <v>196402.5</v>
      </c>
      <c r="DT8" t="s">
        <v>213</v>
      </c>
      <c r="DX8" t="s">
        <v>70</v>
      </c>
      <c r="DY8">
        <v>0.25</v>
      </c>
      <c r="EA8" t="s">
        <v>70</v>
      </c>
      <c r="EB8">
        <v>0.25</v>
      </c>
      <c r="ED8" t="s">
        <v>70</v>
      </c>
      <c r="EE8">
        <v>0.25</v>
      </c>
      <c r="EG8" t="s">
        <v>258</v>
      </c>
      <c r="EH8" s="427">
        <f>(EH13*EH11*EH9*EH19)+(EH14*EH12*EH10*EH20)</f>
        <v>41592.465753424665</v>
      </c>
      <c r="EI8" t="s">
        <v>213</v>
      </c>
      <c r="EM8" t="s">
        <v>70</v>
      </c>
      <c r="EN8">
        <v>0.25</v>
      </c>
      <c r="EP8" t="s">
        <v>70</v>
      </c>
      <c r="EQ8">
        <v>0.25</v>
      </c>
      <c r="ES8" t="s">
        <v>70</v>
      </c>
      <c r="ET8">
        <v>0.25</v>
      </c>
      <c r="EV8" t="s">
        <v>260</v>
      </c>
      <c r="EW8" s="427">
        <f>(EW11*EW13*EW9*EW19)+(EW12*EW14*EW10*EW20)</f>
        <v>12475.342465753425</v>
      </c>
      <c r="EX8" t="s">
        <v>213</v>
      </c>
      <c r="FB8" t="s">
        <v>290</v>
      </c>
      <c r="FC8">
        <v>0.25</v>
      </c>
      <c r="FE8" t="s">
        <v>290</v>
      </c>
      <c r="FF8">
        <v>0.25</v>
      </c>
      <c r="FH8" t="s">
        <v>290</v>
      </c>
      <c r="FI8">
        <v>0.25</v>
      </c>
      <c r="FK8" t="s">
        <v>263</v>
      </c>
      <c r="FL8" s="427">
        <f>(FL13*FL9*FL11*FL19)+(FL14*FL10*FL12*FL20)</f>
        <v>38250.684931506847</v>
      </c>
      <c r="FM8" t="s">
        <v>213</v>
      </c>
      <c r="FT8" t="s">
        <v>285</v>
      </c>
      <c r="FU8">
        <v>0.25</v>
      </c>
      <c r="FW8" t="s">
        <v>285</v>
      </c>
      <c r="FX8">
        <v>0.25</v>
      </c>
      <c r="FZ8" t="s">
        <v>266</v>
      </c>
      <c r="GA8" s="427">
        <f>(GA11*GA9*GA13*GA19)+(GA14*GA10*GA12*GA20)</f>
        <v>29898.630136986299</v>
      </c>
      <c r="GB8" t="s">
        <v>213</v>
      </c>
      <c r="GF8" t="s">
        <v>279</v>
      </c>
      <c r="GG8">
        <v>0.25</v>
      </c>
      <c r="GI8" t="s">
        <v>279</v>
      </c>
      <c r="GJ8">
        <v>0.25</v>
      </c>
      <c r="GL8" t="s">
        <v>279</v>
      </c>
      <c r="GM8">
        <v>0.25</v>
      </c>
      <c r="GO8" t="s">
        <v>267</v>
      </c>
      <c r="GP8" s="427">
        <f>(GP13*GP9*GP11*GP18)+(GP14*GP10*GP12*GP19)</f>
        <v>23224.657534246577</v>
      </c>
      <c r="GQ8" t="s">
        <v>213</v>
      </c>
      <c r="GU8" t="s">
        <v>284</v>
      </c>
      <c r="GV8">
        <v>0.25</v>
      </c>
      <c r="GX8" t="s">
        <v>284</v>
      </c>
      <c r="GY8">
        <v>0.25</v>
      </c>
      <c r="HA8" t="s">
        <v>284</v>
      </c>
      <c r="HB8">
        <v>0.25</v>
      </c>
      <c r="HD8" t="s">
        <v>411</v>
      </c>
      <c r="HE8" s="1">
        <f>B29</f>
        <v>1600</v>
      </c>
      <c r="HF8" t="s">
        <v>119</v>
      </c>
    </row>
    <row r="9" spans="1:214" x14ac:dyDescent="0.2">
      <c r="A9" s="424" t="s">
        <v>488</v>
      </c>
      <c r="B9" s="417">
        <v>0.10100000000000001</v>
      </c>
      <c r="C9" s="418"/>
      <c r="D9" t="s">
        <v>65</v>
      </c>
      <c r="E9">
        <v>1</v>
      </c>
      <c r="F9" t="s">
        <v>59</v>
      </c>
      <c r="G9" t="s">
        <v>447</v>
      </c>
      <c r="H9" s="1">
        <f>B28</f>
        <v>1.0399999999999999E-3</v>
      </c>
      <c r="I9" t="s">
        <v>61</v>
      </c>
      <c r="J9" t="s">
        <v>447</v>
      </c>
      <c r="K9" s="1">
        <f>B28</f>
        <v>1.0399999999999999E-3</v>
      </c>
      <c r="L9" t="s">
        <v>61</v>
      </c>
      <c r="M9" t="s">
        <v>51</v>
      </c>
      <c r="N9">
        <v>350</v>
      </c>
      <c r="O9" t="s">
        <v>60</v>
      </c>
      <c r="P9" t="s">
        <v>51</v>
      </c>
      <c r="Q9">
        <v>350</v>
      </c>
      <c r="R9" t="s">
        <v>60</v>
      </c>
      <c r="S9" t="s">
        <v>51</v>
      </c>
      <c r="T9">
        <v>350</v>
      </c>
      <c r="U9" t="s">
        <v>60</v>
      </c>
      <c r="V9" t="s">
        <v>65</v>
      </c>
      <c r="W9">
        <v>1</v>
      </c>
      <c r="X9" t="s">
        <v>59</v>
      </c>
      <c r="Y9" t="s">
        <v>65</v>
      </c>
      <c r="Z9">
        <v>1</v>
      </c>
      <c r="AA9" t="s">
        <v>59</v>
      </c>
      <c r="AB9" t="s">
        <v>438</v>
      </c>
      <c r="AC9" s="1">
        <f>B19</f>
        <v>1.0399999999999999E-3</v>
      </c>
      <c r="AD9" s="1">
        <f>B19</f>
        <v>1.0399999999999999E-3</v>
      </c>
      <c r="AE9" s="1">
        <f>B19</f>
        <v>1.0399999999999999E-3</v>
      </c>
      <c r="AF9" s="1">
        <f>B19</f>
        <v>1.0399999999999999E-3</v>
      </c>
      <c r="AG9" s="1">
        <f>B19</f>
        <v>1.0399999999999999E-3</v>
      </c>
      <c r="AH9" t="s">
        <v>61</v>
      </c>
      <c r="AI9" t="s">
        <v>51</v>
      </c>
      <c r="AJ9">
        <v>250</v>
      </c>
      <c r="AK9" t="s">
        <v>60</v>
      </c>
      <c r="AL9" t="s">
        <v>51</v>
      </c>
      <c r="AM9">
        <v>250</v>
      </c>
      <c r="AN9" t="s">
        <v>60</v>
      </c>
      <c r="AO9" t="s">
        <v>51</v>
      </c>
      <c r="AP9">
        <v>250</v>
      </c>
      <c r="AQ9" t="s">
        <v>60</v>
      </c>
      <c r="AR9" t="s">
        <v>51</v>
      </c>
      <c r="AS9">
        <v>225</v>
      </c>
      <c r="AT9" t="s">
        <v>60</v>
      </c>
      <c r="AU9" t="s">
        <v>51</v>
      </c>
      <c r="AV9">
        <v>225</v>
      </c>
      <c r="AW9" t="s">
        <v>60</v>
      </c>
      <c r="AX9" t="s">
        <v>51</v>
      </c>
      <c r="AY9">
        <v>225</v>
      </c>
      <c r="AZ9" t="s">
        <v>60</v>
      </c>
      <c r="BA9" t="s">
        <v>51</v>
      </c>
      <c r="BB9">
        <v>250</v>
      </c>
      <c r="BC9" t="s">
        <v>60</v>
      </c>
      <c r="BD9" t="s">
        <v>51</v>
      </c>
      <c r="BE9">
        <v>250</v>
      </c>
      <c r="BF9" t="s">
        <v>60</v>
      </c>
      <c r="BG9" t="s">
        <v>51</v>
      </c>
      <c r="BH9">
        <v>250</v>
      </c>
      <c r="BI9" t="s">
        <v>60</v>
      </c>
      <c r="BJ9" t="s">
        <v>51</v>
      </c>
      <c r="BK9">
        <f>BK10*BK11</f>
        <v>250</v>
      </c>
      <c r="BL9" t="s">
        <v>60</v>
      </c>
      <c r="BM9" t="s">
        <v>51</v>
      </c>
      <c r="BN9">
        <f>BN10*BN11</f>
        <v>250</v>
      </c>
      <c r="BO9" t="s">
        <v>60</v>
      </c>
      <c r="BP9" t="s">
        <v>51</v>
      </c>
      <c r="BQ9">
        <f>BQ10*BQ11</f>
        <v>250</v>
      </c>
      <c r="BR9" t="s">
        <v>60</v>
      </c>
      <c r="BS9" t="s">
        <v>65</v>
      </c>
      <c r="BT9">
        <v>1</v>
      </c>
      <c r="BU9" t="s">
        <v>59</v>
      </c>
      <c r="BV9" t="s">
        <v>447</v>
      </c>
      <c r="BW9" s="1">
        <f>E35</f>
        <v>1.0399999999999999E-3</v>
      </c>
      <c r="BX9" t="s">
        <v>61</v>
      </c>
      <c r="BY9" t="s">
        <v>148</v>
      </c>
      <c r="BZ9" s="1">
        <f>B30</f>
        <v>1359344473.5814338</v>
      </c>
      <c r="CA9" t="s">
        <v>149</v>
      </c>
      <c r="CB9" t="s">
        <v>51</v>
      </c>
      <c r="CC9">
        <v>75</v>
      </c>
      <c r="CD9" t="s">
        <v>60</v>
      </c>
      <c r="CE9" t="s">
        <v>51</v>
      </c>
      <c r="CF9">
        <v>75</v>
      </c>
      <c r="CG9" t="s">
        <v>60</v>
      </c>
      <c r="CH9" t="s">
        <v>51</v>
      </c>
      <c r="CI9">
        <v>75</v>
      </c>
      <c r="CJ9" t="s">
        <v>60</v>
      </c>
      <c r="CK9" t="s">
        <v>300</v>
      </c>
      <c r="CL9" s="17">
        <v>1</v>
      </c>
      <c r="CM9" t="s">
        <v>380</v>
      </c>
      <c r="CN9" t="s">
        <v>310</v>
      </c>
      <c r="CO9" s="17">
        <v>0.25</v>
      </c>
      <c r="CT9" t="s">
        <v>447</v>
      </c>
      <c r="CU9" s="1">
        <f>B28</f>
        <v>1.0399999999999999E-3</v>
      </c>
      <c r="CV9" t="s">
        <v>61</v>
      </c>
      <c r="CW9" t="s">
        <v>65</v>
      </c>
      <c r="CX9">
        <v>1</v>
      </c>
      <c r="CY9" t="s">
        <v>59</v>
      </c>
      <c r="CZ9" t="s">
        <v>447</v>
      </c>
      <c r="DA9" s="1">
        <f>B28</f>
        <v>1.0399999999999999E-3</v>
      </c>
      <c r="DB9" t="s">
        <v>61</v>
      </c>
      <c r="DC9" t="s">
        <v>467</v>
      </c>
      <c r="DD9" s="1">
        <f>B54</f>
        <v>10.4</v>
      </c>
      <c r="DE9" t="s">
        <v>380</v>
      </c>
      <c r="DF9" t="s">
        <v>74</v>
      </c>
      <c r="DG9">
        <v>0.25</v>
      </c>
      <c r="DH9" t="s">
        <v>75</v>
      </c>
      <c r="DO9" t="s">
        <v>74</v>
      </c>
      <c r="DP9">
        <v>0.25</v>
      </c>
      <c r="DQ9" t="s">
        <v>75</v>
      </c>
      <c r="DR9" t="s">
        <v>254</v>
      </c>
      <c r="DS9">
        <f>B57</f>
        <v>256</v>
      </c>
      <c r="DT9" t="s">
        <v>380</v>
      </c>
      <c r="DX9" t="s">
        <v>317</v>
      </c>
      <c r="DY9" s="1">
        <f>B35</f>
        <v>1E-3</v>
      </c>
      <c r="EA9" t="s">
        <v>317</v>
      </c>
      <c r="EB9" s="1">
        <f>B35</f>
        <v>1E-3</v>
      </c>
      <c r="ED9" t="s">
        <v>317</v>
      </c>
      <c r="EE9" s="1">
        <f>B35</f>
        <v>1E-3</v>
      </c>
      <c r="EG9" t="s">
        <v>91</v>
      </c>
      <c r="EH9">
        <f>4.7*1000/365</f>
        <v>12.876712328767123</v>
      </c>
      <c r="EI9" t="s">
        <v>380</v>
      </c>
      <c r="EM9" t="s">
        <v>318</v>
      </c>
      <c r="EN9" s="1">
        <f>B36</f>
        <v>1E-3</v>
      </c>
      <c r="EP9" t="s">
        <v>318</v>
      </c>
      <c r="EQ9" s="1">
        <f>B36</f>
        <v>1E-3</v>
      </c>
      <c r="ES9" t="s">
        <v>318</v>
      </c>
      <c r="ET9" s="1">
        <f>B36</f>
        <v>1E-3</v>
      </c>
      <c r="EV9" t="s">
        <v>261</v>
      </c>
      <c r="EW9">
        <f>2.3*1000/365</f>
        <v>6.3013698630136989</v>
      </c>
      <c r="EX9" t="s">
        <v>380</v>
      </c>
      <c r="FB9" t="s">
        <v>319</v>
      </c>
      <c r="FC9" s="406">
        <f>B38</f>
        <v>0</v>
      </c>
      <c r="FE9" t="s">
        <v>319</v>
      </c>
      <c r="FF9" s="406">
        <f>B38</f>
        <v>0</v>
      </c>
      <c r="FH9" t="s">
        <v>319</v>
      </c>
      <c r="FI9" s="406">
        <f>B38</f>
        <v>0</v>
      </c>
      <c r="FK9" t="s">
        <v>235</v>
      </c>
      <c r="FL9">
        <f>6.4*1000/365</f>
        <v>17.534246575342465</v>
      </c>
      <c r="FM9" t="s">
        <v>380</v>
      </c>
      <c r="FT9" t="s">
        <v>320</v>
      </c>
      <c r="FU9" s="17">
        <v>1</v>
      </c>
      <c r="FW9" t="s">
        <v>320</v>
      </c>
      <c r="FX9" s="17">
        <v>1</v>
      </c>
      <c r="FZ9" t="s">
        <v>233</v>
      </c>
      <c r="GA9" s="15">
        <f>5*1000/365</f>
        <v>13.698630136986301</v>
      </c>
      <c r="GB9" t="s">
        <v>380</v>
      </c>
      <c r="GF9" t="s">
        <v>321</v>
      </c>
      <c r="GG9" s="406">
        <f>B37</f>
        <v>0</v>
      </c>
      <c r="GI9" t="s">
        <v>321</v>
      </c>
      <c r="GJ9" s="406">
        <f>B37</f>
        <v>0</v>
      </c>
      <c r="GL9" t="s">
        <v>321</v>
      </c>
      <c r="GM9" s="406">
        <f>B37</f>
        <v>0</v>
      </c>
      <c r="GO9" t="s">
        <v>269</v>
      </c>
      <c r="GP9">
        <f>4.5*1000/365</f>
        <v>12.328767123287671</v>
      </c>
      <c r="GQ9" t="s">
        <v>380</v>
      </c>
      <c r="GU9" t="s">
        <v>322</v>
      </c>
      <c r="GV9" s="406">
        <f>B39</f>
        <v>0</v>
      </c>
      <c r="GX9" t="s">
        <v>322</v>
      </c>
      <c r="GY9" s="406">
        <f>B39</f>
        <v>0</v>
      </c>
      <c r="HA9" t="s">
        <v>322</v>
      </c>
      <c r="HB9" s="406">
        <f>B39</f>
        <v>0</v>
      </c>
      <c r="HD9" t="s">
        <v>71</v>
      </c>
      <c r="HE9">
        <v>0.3</v>
      </c>
    </row>
    <row r="10" spans="1:214" x14ac:dyDescent="0.2">
      <c r="A10" s="424" t="s">
        <v>428</v>
      </c>
      <c r="B10" s="417">
        <v>0.751</v>
      </c>
      <c r="C10" s="418"/>
      <c r="D10" t="s">
        <v>436</v>
      </c>
      <c r="E10" s="1">
        <f>B17</f>
        <v>1.2999999999999999E-2</v>
      </c>
      <c r="F10" t="s">
        <v>61</v>
      </c>
      <c r="G10" t="s">
        <v>451</v>
      </c>
      <c r="H10" s="1">
        <f>H5/(H6*H15)</f>
        <v>1.306301598913157</v>
      </c>
      <c r="I10" t="s">
        <v>21</v>
      </c>
      <c r="J10" t="s">
        <v>148</v>
      </c>
      <c r="K10" s="1">
        <f>B30</f>
        <v>1359344473.5814338</v>
      </c>
      <c r="L10" t="s">
        <v>149</v>
      </c>
      <c r="M10" t="s">
        <v>65</v>
      </c>
      <c r="N10">
        <v>1</v>
      </c>
      <c r="O10" t="s">
        <v>59</v>
      </c>
      <c r="P10" t="s">
        <v>65</v>
      </c>
      <c r="Q10">
        <v>1</v>
      </c>
      <c r="R10" t="s">
        <v>59</v>
      </c>
      <c r="S10" t="s">
        <v>65</v>
      </c>
      <c r="T10">
        <v>1</v>
      </c>
      <c r="U10" t="s">
        <v>59</v>
      </c>
      <c r="V10" t="s">
        <v>436</v>
      </c>
      <c r="W10" s="1">
        <f>B17</f>
        <v>1.2999999999999999E-2</v>
      </c>
      <c r="X10" t="s">
        <v>72</v>
      </c>
      <c r="Y10" t="s">
        <v>436</v>
      </c>
      <c r="Z10" s="1">
        <f>B17</f>
        <v>1.2999999999999999E-2</v>
      </c>
      <c r="AA10" t="s">
        <v>72</v>
      </c>
      <c r="AI10" t="s">
        <v>65</v>
      </c>
      <c r="AJ10">
        <v>1</v>
      </c>
      <c r="AK10" t="s">
        <v>59</v>
      </c>
      <c r="AL10" t="s">
        <v>65</v>
      </c>
      <c r="AM10">
        <v>1</v>
      </c>
      <c r="AN10" t="s">
        <v>59</v>
      </c>
      <c r="AO10" t="s">
        <v>65</v>
      </c>
      <c r="AP10">
        <v>1</v>
      </c>
      <c r="AQ10" t="s">
        <v>59</v>
      </c>
      <c r="AR10" t="s">
        <v>65</v>
      </c>
      <c r="AS10">
        <v>1</v>
      </c>
      <c r="AT10" t="s">
        <v>59</v>
      </c>
      <c r="AU10" t="s">
        <v>65</v>
      </c>
      <c r="AV10">
        <v>1</v>
      </c>
      <c r="AW10" t="s">
        <v>59</v>
      </c>
      <c r="AX10" t="s">
        <v>65</v>
      </c>
      <c r="AY10">
        <v>1</v>
      </c>
      <c r="AZ10" t="s">
        <v>59</v>
      </c>
      <c r="BA10" t="s">
        <v>65</v>
      </c>
      <c r="BB10">
        <v>1</v>
      </c>
      <c r="BC10" t="s">
        <v>59</v>
      </c>
      <c r="BD10" t="s">
        <v>65</v>
      </c>
      <c r="BE10">
        <v>1</v>
      </c>
      <c r="BF10" t="s">
        <v>59</v>
      </c>
      <c r="BG10" t="s">
        <v>65</v>
      </c>
      <c r="BH10">
        <v>1</v>
      </c>
      <c r="BI10" t="s">
        <v>59</v>
      </c>
      <c r="BJ10" t="s">
        <v>378</v>
      </c>
      <c r="BK10">
        <v>50</v>
      </c>
      <c r="BL10" t="s">
        <v>389</v>
      </c>
      <c r="BM10" t="s">
        <v>378</v>
      </c>
      <c r="BN10">
        <v>50</v>
      </c>
      <c r="BO10" t="s">
        <v>389</v>
      </c>
      <c r="BP10" t="s">
        <v>378</v>
      </c>
      <c r="BQ10">
        <v>50</v>
      </c>
      <c r="BR10" t="s">
        <v>389</v>
      </c>
      <c r="BS10" t="s">
        <v>436</v>
      </c>
      <c r="BT10" s="1">
        <f>B17</f>
        <v>1.2999999999999999E-2</v>
      </c>
      <c r="BU10" t="s">
        <v>61</v>
      </c>
      <c r="BV10" t="s">
        <v>451</v>
      </c>
      <c r="BW10" s="1">
        <f>BW5/(BW6*BW13)</f>
        <v>6.514488221805296</v>
      </c>
      <c r="BX10" t="s">
        <v>21</v>
      </c>
      <c r="BY10" t="s">
        <v>37</v>
      </c>
      <c r="BZ10" s="1">
        <f>(BZ33*BZ11)/(1-EXP(-BZ11*BZ33))</f>
        <v>1.0056411929569626</v>
      </c>
      <c r="CB10" t="s">
        <v>65</v>
      </c>
      <c r="CC10">
        <v>1</v>
      </c>
      <c r="CD10" t="s">
        <v>59</v>
      </c>
      <c r="CE10" t="s">
        <v>65</v>
      </c>
      <c r="CF10">
        <v>1</v>
      </c>
      <c r="CG10" t="s">
        <v>59</v>
      </c>
      <c r="CH10" t="s">
        <v>65</v>
      </c>
      <c r="CI10">
        <v>1</v>
      </c>
      <c r="CJ10" t="s">
        <v>59</v>
      </c>
      <c r="CN10" t="s">
        <v>308</v>
      </c>
      <c r="CO10" s="17">
        <v>1</v>
      </c>
      <c r="CP10" t="s">
        <v>431</v>
      </c>
      <c r="CT10" t="s">
        <v>148</v>
      </c>
      <c r="CU10" s="1">
        <f>B30</f>
        <v>1359344473.5814338</v>
      </c>
      <c r="CV10" t="s">
        <v>149</v>
      </c>
      <c r="CW10" t="s">
        <v>436</v>
      </c>
      <c r="CX10" s="1">
        <f>B17</f>
        <v>1.2999999999999999E-2</v>
      </c>
      <c r="CY10" t="s">
        <v>61</v>
      </c>
      <c r="CZ10" t="s">
        <v>37</v>
      </c>
      <c r="DA10" s="1">
        <f>(DA39*DA11)/(1-EXP(-DA11*DA39))</f>
        <v>1.0002165781331087</v>
      </c>
      <c r="DC10" t="s">
        <v>468</v>
      </c>
      <c r="DD10" s="1">
        <f>B55</f>
        <v>28.5</v>
      </c>
      <c r="DE10" t="s">
        <v>380</v>
      </c>
      <c r="DF10" t="s">
        <v>63</v>
      </c>
      <c r="DG10">
        <f>B40</f>
        <v>1E-3</v>
      </c>
      <c r="DO10" t="s">
        <v>63</v>
      </c>
      <c r="DP10">
        <f>B40</f>
        <v>1E-3</v>
      </c>
      <c r="DR10" t="s">
        <v>255</v>
      </c>
      <c r="DS10">
        <f>B58</f>
        <v>615</v>
      </c>
      <c r="DT10" t="s">
        <v>380</v>
      </c>
      <c r="DX10" t="s">
        <v>84</v>
      </c>
      <c r="DY10">
        <v>16.899999999999999</v>
      </c>
      <c r="EA10" t="s">
        <v>84</v>
      </c>
      <c r="EB10">
        <v>16.899999999999999</v>
      </c>
      <c r="ED10" t="s">
        <v>84</v>
      </c>
      <c r="EE10">
        <v>16.899999999999999</v>
      </c>
      <c r="EG10" t="s">
        <v>109</v>
      </c>
      <c r="EH10">
        <f>50.2*1000/365</f>
        <v>137.53424657534248</v>
      </c>
      <c r="EI10" t="s">
        <v>380</v>
      </c>
      <c r="EM10" t="s">
        <v>85</v>
      </c>
      <c r="EN10">
        <v>11.77</v>
      </c>
      <c r="EP10" t="s">
        <v>85</v>
      </c>
      <c r="EQ10">
        <v>11.77</v>
      </c>
      <c r="ES10" t="s">
        <v>85</v>
      </c>
      <c r="ET10">
        <v>11.77</v>
      </c>
      <c r="EV10" t="s">
        <v>262</v>
      </c>
      <c r="EW10">
        <f>14.9*1000/365</f>
        <v>40.821917808219176</v>
      </c>
      <c r="EX10" t="s">
        <v>380</v>
      </c>
      <c r="FB10" t="s">
        <v>292</v>
      </c>
      <c r="FC10">
        <v>0.2</v>
      </c>
      <c r="FE10" t="s">
        <v>292</v>
      </c>
      <c r="FF10">
        <v>0.2</v>
      </c>
      <c r="FH10" t="s">
        <v>292</v>
      </c>
      <c r="FI10">
        <v>0.2</v>
      </c>
      <c r="FK10" t="s">
        <v>236</v>
      </c>
      <c r="FL10">
        <f>45.8*1000/365</f>
        <v>125.47945205479452</v>
      </c>
      <c r="FM10" t="s">
        <v>380</v>
      </c>
      <c r="FT10" t="s">
        <v>289</v>
      </c>
      <c r="FU10" s="17">
        <v>1</v>
      </c>
      <c r="FW10" t="s">
        <v>289</v>
      </c>
      <c r="FX10" s="17">
        <v>1</v>
      </c>
      <c r="FZ10" t="s">
        <v>234</v>
      </c>
      <c r="GA10">
        <f>35.8*1000/365</f>
        <v>98.082191780821915</v>
      </c>
      <c r="GB10" t="s">
        <v>380</v>
      </c>
      <c r="GF10" t="s">
        <v>275</v>
      </c>
      <c r="GG10">
        <v>0.2</v>
      </c>
      <c r="GI10" t="s">
        <v>275</v>
      </c>
      <c r="GJ10">
        <v>0.2</v>
      </c>
      <c r="GL10" t="s">
        <v>275</v>
      </c>
      <c r="GM10">
        <v>0.2</v>
      </c>
      <c r="GO10" t="s">
        <v>268</v>
      </c>
      <c r="GP10">
        <f>27.7*1000/365</f>
        <v>75.890410958904113</v>
      </c>
      <c r="GQ10" t="s">
        <v>380</v>
      </c>
      <c r="GU10" t="s">
        <v>280</v>
      </c>
      <c r="GV10">
        <v>4.7</v>
      </c>
      <c r="GX10" t="s">
        <v>280</v>
      </c>
      <c r="GY10">
        <v>4.7</v>
      </c>
      <c r="HA10" t="s">
        <v>280</v>
      </c>
      <c r="HB10">
        <v>4.7</v>
      </c>
      <c r="HD10" t="s">
        <v>76</v>
      </c>
      <c r="HE10" s="1">
        <v>1.5</v>
      </c>
    </row>
    <row r="11" spans="1:214" x14ac:dyDescent="0.2">
      <c r="A11" s="424" t="s">
        <v>489</v>
      </c>
      <c r="B11" s="417">
        <v>3.44E-2</v>
      </c>
      <c r="C11" s="418"/>
      <c r="D11" t="s">
        <v>77</v>
      </c>
      <c r="E11" s="427">
        <f>((E14/E15)*E24*E12*E16*E26)+((E14/E15)*E25*E13*E17*E27)</f>
        <v>6192.3076923076924</v>
      </c>
      <c r="F11" t="s">
        <v>407</v>
      </c>
      <c r="G11" t="s">
        <v>452</v>
      </c>
      <c r="H11" s="1">
        <f>H5/(H7*H16*H28)</f>
        <v>2.4844720496894408E-2</v>
      </c>
      <c r="I11" t="s">
        <v>21</v>
      </c>
      <c r="J11" t="s">
        <v>37</v>
      </c>
      <c r="K11" s="1">
        <f>(K45*K12)/(1-EXP(-K12*K45))</f>
        <v>1.0056411929569626</v>
      </c>
      <c r="M11" t="s">
        <v>462</v>
      </c>
      <c r="N11">
        <v>0.4</v>
      </c>
      <c r="P11" t="s">
        <v>462</v>
      </c>
      <c r="Q11">
        <v>0.4</v>
      </c>
      <c r="S11" t="s">
        <v>462</v>
      </c>
      <c r="T11">
        <v>0.4</v>
      </c>
      <c r="V11" t="s">
        <v>79</v>
      </c>
      <c r="W11">
        <v>8</v>
      </c>
      <c r="X11" t="s">
        <v>80</v>
      </c>
      <c r="Y11" t="s">
        <v>79</v>
      </c>
      <c r="Z11">
        <v>8</v>
      </c>
      <c r="AA11" t="s">
        <v>80</v>
      </c>
      <c r="AB11" t="s">
        <v>65</v>
      </c>
      <c r="AC11">
        <v>1</v>
      </c>
      <c r="AD11">
        <v>1</v>
      </c>
      <c r="AE11">
        <v>1</v>
      </c>
      <c r="AF11">
        <v>1</v>
      </c>
      <c r="AG11">
        <v>1</v>
      </c>
      <c r="AH11" t="s">
        <v>88</v>
      </c>
      <c r="AI11" t="s">
        <v>462</v>
      </c>
      <c r="AJ11">
        <v>0.4</v>
      </c>
      <c r="AL11" t="s">
        <v>462</v>
      </c>
      <c r="AM11">
        <v>0.4</v>
      </c>
      <c r="AO11" t="s">
        <v>462</v>
      </c>
      <c r="AP11">
        <v>0.4</v>
      </c>
      <c r="AR11" t="s">
        <v>462</v>
      </c>
      <c r="AS11">
        <v>0.4</v>
      </c>
      <c r="AU11" t="s">
        <v>462</v>
      </c>
      <c r="AV11">
        <v>0.4</v>
      </c>
      <c r="AX11" t="s">
        <v>462</v>
      </c>
      <c r="AY11">
        <v>0.4</v>
      </c>
      <c r="BA11" t="s">
        <v>462</v>
      </c>
      <c r="BB11">
        <v>0.4</v>
      </c>
      <c r="BD11" t="s">
        <v>462</v>
      </c>
      <c r="BE11">
        <v>0.4</v>
      </c>
      <c r="BG11" t="s">
        <v>462</v>
      </c>
      <c r="BH11">
        <v>0.4</v>
      </c>
      <c r="BJ11" t="s">
        <v>377</v>
      </c>
      <c r="BK11">
        <v>5</v>
      </c>
      <c r="BL11" t="s">
        <v>390</v>
      </c>
      <c r="BM11" t="s">
        <v>377</v>
      </c>
      <c r="BN11">
        <v>5</v>
      </c>
      <c r="BO11" t="s">
        <v>390</v>
      </c>
      <c r="BP11" t="s">
        <v>377</v>
      </c>
      <c r="BQ11">
        <v>5</v>
      </c>
      <c r="BR11" t="s">
        <v>390</v>
      </c>
      <c r="BS11" t="s">
        <v>77</v>
      </c>
      <c r="BT11" s="427">
        <f>(BT25*BT17*BT14*(1/24)*BT12*BT29)+(BT26*BT18*BT15*(1/24)*BT13*BT30)</f>
        <v>93.75</v>
      </c>
      <c r="BU11" t="s">
        <v>407</v>
      </c>
      <c r="BV11" t="s">
        <v>452</v>
      </c>
      <c r="BW11" s="1"/>
      <c r="BX11" t="s">
        <v>21</v>
      </c>
      <c r="BY11" t="s">
        <v>49</v>
      </c>
      <c r="BZ11" s="1">
        <f>0.693/BZ12</f>
        <v>4.3312499999999997E-4</v>
      </c>
      <c r="CB11" t="s">
        <v>463</v>
      </c>
      <c r="CC11" s="1">
        <f>B2</f>
        <v>0.124</v>
      </c>
      <c r="CE11" t="s">
        <v>463</v>
      </c>
      <c r="CF11" s="1">
        <f>B5</f>
        <v>5.8099999999999999E-2</v>
      </c>
      <c r="CH11" t="s">
        <v>463</v>
      </c>
      <c r="CI11" s="1">
        <f>B9</f>
        <v>0.10100000000000001</v>
      </c>
      <c r="CN11" t="s">
        <v>305</v>
      </c>
      <c r="CO11" s="17">
        <v>1</v>
      </c>
      <c r="CP11" t="s">
        <v>431</v>
      </c>
      <c r="CT11" t="s">
        <v>37</v>
      </c>
      <c r="CU11" s="1">
        <f>(CU45*CU12)/(1-EXP(-CU12*CU45))</f>
        <v>1.0086875128436219</v>
      </c>
      <c r="CW11" t="s">
        <v>77</v>
      </c>
      <c r="CX11" s="427">
        <f>((CX15/24)*CX24*CX12*CX16*CX26)+((CX14/24)*CX25*CX13*CX17*CX27)</f>
        <v>6475</v>
      </c>
      <c r="CY11" t="s">
        <v>407</v>
      </c>
      <c r="CZ11" t="s">
        <v>49</v>
      </c>
      <c r="DA11" s="1">
        <f>0.693/DA12</f>
        <v>4.3312499999999997E-4</v>
      </c>
      <c r="DC11" t="s">
        <v>470</v>
      </c>
      <c r="DD11" s="427">
        <f>(DD12*DD15*DD16*DD22)+(DD13*DD14*DD17*DD23)</f>
        <v>17496.5</v>
      </c>
      <c r="DE11" t="s">
        <v>213</v>
      </c>
      <c r="DF11" t="s">
        <v>92</v>
      </c>
      <c r="DG11">
        <f>DG19+DG20</f>
        <v>2.8186643835616437E-5</v>
      </c>
      <c r="DO11" t="s">
        <v>92</v>
      </c>
      <c r="DP11">
        <f>DP19+DP20</f>
        <v>2.6999999999999999E-5</v>
      </c>
      <c r="DR11" t="s">
        <v>67</v>
      </c>
      <c r="DS11">
        <v>350</v>
      </c>
      <c r="DT11" t="s">
        <v>52</v>
      </c>
      <c r="DX11" t="s">
        <v>93</v>
      </c>
      <c r="DY11">
        <v>0.41</v>
      </c>
      <c r="EA11" t="s">
        <v>93</v>
      </c>
      <c r="EB11">
        <v>0.41</v>
      </c>
      <c r="ED11" t="s">
        <v>93</v>
      </c>
      <c r="EE11">
        <v>0.41</v>
      </c>
      <c r="EG11" t="s">
        <v>67</v>
      </c>
      <c r="EH11">
        <v>350</v>
      </c>
      <c r="EI11" t="s">
        <v>52</v>
      </c>
      <c r="EM11" t="s">
        <v>94</v>
      </c>
      <c r="EN11">
        <v>0.39</v>
      </c>
      <c r="EP11" t="s">
        <v>94</v>
      </c>
      <c r="EQ11">
        <v>0.39</v>
      </c>
      <c r="ES11" t="s">
        <v>94</v>
      </c>
      <c r="ET11">
        <v>0.39</v>
      </c>
      <c r="EV11" t="s">
        <v>385</v>
      </c>
      <c r="EW11">
        <v>350</v>
      </c>
      <c r="EX11" t="s">
        <v>52</v>
      </c>
      <c r="FB11" t="s">
        <v>291</v>
      </c>
      <c r="FC11">
        <v>2.1999999999999999E-2</v>
      </c>
      <c r="FE11" t="s">
        <v>291</v>
      </c>
      <c r="FF11">
        <v>2.1999999999999999E-2</v>
      </c>
      <c r="FH11" t="s">
        <v>291</v>
      </c>
      <c r="FI11">
        <v>2.1999999999999999E-2</v>
      </c>
      <c r="FK11" t="s">
        <v>385</v>
      </c>
      <c r="FL11">
        <v>350</v>
      </c>
      <c r="FM11" t="s">
        <v>52</v>
      </c>
      <c r="FT11" t="s">
        <v>288</v>
      </c>
      <c r="FU11" s="17">
        <v>1</v>
      </c>
      <c r="FW11" t="s">
        <v>288</v>
      </c>
      <c r="FX11" s="17">
        <v>1</v>
      </c>
      <c r="FZ11" t="s">
        <v>385</v>
      </c>
      <c r="GA11">
        <v>350</v>
      </c>
      <c r="GB11" t="s">
        <v>52</v>
      </c>
      <c r="GF11" t="s">
        <v>276</v>
      </c>
      <c r="GG11">
        <v>2.1999999999999999E-2</v>
      </c>
      <c r="GI11" t="s">
        <v>276</v>
      </c>
      <c r="GJ11">
        <v>2.1999999999999999E-2</v>
      </c>
      <c r="GL11" t="s">
        <v>276</v>
      </c>
      <c r="GM11">
        <v>2.1999999999999999E-2</v>
      </c>
      <c r="GO11" t="s">
        <v>385</v>
      </c>
      <c r="GP11">
        <v>350</v>
      </c>
      <c r="GQ11" t="s">
        <v>52</v>
      </c>
      <c r="GU11" t="s">
        <v>281</v>
      </c>
      <c r="GV11">
        <v>0.37</v>
      </c>
      <c r="GX11" t="s">
        <v>281</v>
      </c>
      <c r="GY11">
        <v>0.37</v>
      </c>
      <c r="HA11" t="s">
        <v>281</v>
      </c>
      <c r="HB11">
        <v>0.37</v>
      </c>
      <c r="HD11" t="s">
        <v>86</v>
      </c>
      <c r="HE11">
        <v>26</v>
      </c>
    </row>
    <row r="12" spans="1:214" ht="13.5" thickBot="1" x14ac:dyDescent="0.25">
      <c r="A12" s="421" t="s">
        <v>429</v>
      </c>
      <c r="B12" s="422">
        <v>3.44E-2</v>
      </c>
      <c r="C12" s="423"/>
      <c r="D12" t="s">
        <v>87</v>
      </c>
      <c r="E12">
        <f>B45</f>
        <v>10</v>
      </c>
      <c r="F12" t="s">
        <v>78</v>
      </c>
      <c r="G12" t="s">
        <v>457</v>
      </c>
      <c r="H12" s="1" t="e">
        <f>H5/(H8*(1/H45)*H21)</f>
        <v>#DIV/0!</v>
      </c>
      <c r="I12" t="s">
        <v>21</v>
      </c>
      <c r="J12" t="s">
        <v>49</v>
      </c>
      <c r="K12" s="1">
        <f>0.693/K13</f>
        <v>4.3312499999999997E-4</v>
      </c>
      <c r="M12" t="s">
        <v>463</v>
      </c>
      <c r="N12" s="1">
        <f>B2</f>
        <v>0.124</v>
      </c>
      <c r="P12" t="s">
        <v>463</v>
      </c>
      <c r="Q12" s="1">
        <f>B5</f>
        <v>5.8099999999999999E-2</v>
      </c>
      <c r="S12" t="s">
        <v>463</v>
      </c>
      <c r="T12" s="1">
        <f>B9</f>
        <v>0.10100000000000001</v>
      </c>
      <c r="W12">
        <v>24</v>
      </c>
      <c r="X12" t="s">
        <v>80</v>
      </c>
      <c r="Z12">
        <v>24</v>
      </c>
      <c r="AA12" t="s">
        <v>80</v>
      </c>
      <c r="AB12" t="s">
        <v>377</v>
      </c>
      <c r="AF12">
        <v>5</v>
      </c>
      <c r="AG12">
        <v>5</v>
      </c>
      <c r="AH12" t="s">
        <v>193</v>
      </c>
      <c r="AI12" t="s">
        <v>463</v>
      </c>
      <c r="AJ12" s="1">
        <f>B2</f>
        <v>0.124</v>
      </c>
      <c r="AL12" t="s">
        <v>463</v>
      </c>
      <c r="AM12" s="1">
        <f>B5</f>
        <v>5.8099999999999999E-2</v>
      </c>
      <c r="AO12" t="s">
        <v>463</v>
      </c>
      <c r="AP12" s="1">
        <f>B9</f>
        <v>0.10100000000000001</v>
      </c>
      <c r="AR12" t="s">
        <v>463</v>
      </c>
      <c r="AS12" s="1">
        <f>B2</f>
        <v>0.124</v>
      </c>
      <c r="AU12" t="s">
        <v>463</v>
      </c>
      <c r="AV12" s="1">
        <f>B5</f>
        <v>5.8099999999999999E-2</v>
      </c>
      <c r="AX12" t="s">
        <v>463</v>
      </c>
      <c r="AY12" s="1">
        <f>B9</f>
        <v>0.10100000000000001</v>
      </c>
      <c r="BA12" t="s">
        <v>463</v>
      </c>
      <c r="BB12" s="1">
        <f>B2</f>
        <v>0.124</v>
      </c>
      <c r="BD12" t="s">
        <v>463</v>
      </c>
      <c r="BE12" s="1">
        <f>B5</f>
        <v>5.8099999999999999E-2</v>
      </c>
      <c r="BG12" t="s">
        <v>463</v>
      </c>
      <c r="BH12" s="1">
        <f>B9</f>
        <v>0.10100000000000001</v>
      </c>
      <c r="BJ12" t="s">
        <v>65</v>
      </c>
      <c r="BK12">
        <v>1</v>
      </c>
      <c r="BL12" t="s">
        <v>59</v>
      </c>
      <c r="BM12" t="s">
        <v>65</v>
      </c>
      <c r="BN12">
        <v>1</v>
      </c>
      <c r="BO12" t="s">
        <v>59</v>
      </c>
      <c r="BP12" t="s">
        <v>65</v>
      </c>
      <c r="BQ12">
        <v>1</v>
      </c>
      <c r="BR12" t="s">
        <v>59</v>
      </c>
      <c r="BS12" t="s">
        <v>87</v>
      </c>
      <c r="BT12">
        <f>B45</f>
        <v>10</v>
      </c>
      <c r="BU12" t="s">
        <v>78</v>
      </c>
      <c r="BV12" t="s">
        <v>457</v>
      </c>
      <c r="BW12" s="1" t="e">
        <f>BW5/(BW8*(1/BW32)*BW16)</f>
        <v>#DIV/0!</v>
      </c>
      <c r="BX12" t="s">
        <v>21</v>
      </c>
      <c r="BY12" t="s">
        <v>411</v>
      </c>
      <c r="BZ12" s="1">
        <f>B29</f>
        <v>1600</v>
      </c>
      <c r="CA12" t="s">
        <v>119</v>
      </c>
      <c r="CB12" t="s">
        <v>105</v>
      </c>
      <c r="CC12" s="1">
        <f>B3</f>
        <v>0.79200000000000004</v>
      </c>
      <c r="CE12" t="s">
        <v>105</v>
      </c>
      <c r="CF12" s="1">
        <f>B6</f>
        <v>0.624</v>
      </c>
      <c r="CH12" t="s">
        <v>105</v>
      </c>
      <c r="CI12" s="1">
        <f>B10</f>
        <v>0.751</v>
      </c>
      <c r="CN12" t="s">
        <v>306</v>
      </c>
      <c r="CO12" s="17">
        <v>1</v>
      </c>
      <c r="CP12" t="s">
        <v>75</v>
      </c>
      <c r="CT12" t="s">
        <v>49</v>
      </c>
      <c r="CU12" s="1">
        <f>0.693/CU13</f>
        <v>4.3312499999999997E-4</v>
      </c>
      <c r="CW12" t="s">
        <v>87</v>
      </c>
      <c r="CX12">
        <f>B45</f>
        <v>10</v>
      </c>
      <c r="CY12" t="s">
        <v>78</v>
      </c>
      <c r="CZ12" t="s">
        <v>411</v>
      </c>
      <c r="DA12" s="1">
        <f>B29</f>
        <v>1600</v>
      </c>
      <c r="DB12" t="s">
        <v>119</v>
      </c>
      <c r="DC12" t="s">
        <v>471</v>
      </c>
      <c r="DD12" s="1">
        <f>B52</f>
        <v>14.8</v>
      </c>
      <c r="DE12" t="s">
        <v>380</v>
      </c>
      <c r="DF12" t="s">
        <v>101</v>
      </c>
      <c r="DG12">
        <v>10950</v>
      </c>
      <c r="DH12" t="s">
        <v>102</v>
      </c>
      <c r="DO12" t="s">
        <v>101</v>
      </c>
      <c r="DP12">
        <v>10950</v>
      </c>
      <c r="DQ12" t="s">
        <v>102</v>
      </c>
      <c r="DR12" t="s">
        <v>73</v>
      </c>
      <c r="DS12">
        <v>350</v>
      </c>
      <c r="DT12" t="s">
        <v>52</v>
      </c>
      <c r="DX12" t="s">
        <v>103</v>
      </c>
      <c r="DY12">
        <v>1</v>
      </c>
      <c r="EA12" t="s">
        <v>103</v>
      </c>
      <c r="EB12">
        <v>1</v>
      </c>
      <c r="ED12" t="s">
        <v>103</v>
      </c>
      <c r="EE12">
        <v>1</v>
      </c>
      <c r="EG12" t="s">
        <v>73</v>
      </c>
      <c r="EH12">
        <v>350</v>
      </c>
      <c r="EI12" t="s">
        <v>52</v>
      </c>
      <c r="EM12" t="s">
        <v>104</v>
      </c>
      <c r="EN12">
        <v>1</v>
      </c>
      <c r="EP12" t="s">
        <v>104</v>
      </c>
      <c r="EQ12">
        <v>1</v>
      </c>
      <c r="ES12" t="s">
        <v>104</v>
      </c>
      <c r="ET12">
        <v>1</v>
      </c>
      <c r="EV12" t="s">
        <v>386</v>
      </c>
      <c r="EW12">
        <v>350</v>
      </c>
      <c r="EX12" t="s">
        <v>52</v>
      </c>
      <c r="FB12" t="s">
        <v>293</v>
      </c>
      <c r="FC12" s="17">
        <v>1</v>
      </c>
      <c r="FE12" t="s">
        <v>293</v>
      </c>
      <c r="FF12" s="17">
        <v>1</v>
      </c>
      <c r="FH12" t="s">
        <v>293</v>
      </c>
      <c r="FI12" s="17">
        <v>1</v>
      </c>
      <c r="FK12" t="s">
        <v>386</v>
      </c>
      <c r="FL12">
        <v>350</v>
      </c>
      <c r="FM12" t="s">
        <v>52</v>
      </c>
      <c r="FT12" t="s">
        <v>287</v>
      </c>
      <c r="FU12" s="17">
        <v>1</v>
      </c>
      <c r="FW12" t="s">
        <v>287</v>
      </c>
      <c r="FX12" s="17">
        <v>1</v>
      </c>
      <c r="FZ12" t="s">
        <v>386</v>
      </c>
      <c r="GA12">
        <v>350</v>
      </c>
      <c r="GB12" t="s">
        <v>52</v>
      </c>
      <c r="GF12" t="s">
        <v>277</v>
      </c>
      <c r="GG12">
        <v>1</v>
      </c>
      <c r="GI12" t="s">
        <v>277</v>
      </c>
      <c r="GJ12">
        <v>1</v>
      </c>
      <c r="GL12" t="s">
        <v>277</v>
      </c>
      <c r="GM12">
        <v>1</v>
      </c>
      <c r="GO12" t="s">
        <v>386</v>
      </c>
      <c r="GP12">
        <v>350</v>
      </c>
      <c r="GQ12" t="s">
        <v>52</v>
      </c>
      <c r="GU12" t="s">
        <v>282</v>
      </c>
      <c r="GV12">
        <v>1</v>
      </c>
      <c r="GX12" t="s">
        <v>282</v>
      </c>
      <c r="GY12">
        <v>1</v>
      </c>
      <c r="HA12" t="s">
        <v>282</v>
      </c>
      <c r="HB12">
        <v>1</v>
      </c>
      <c r="HE12" s="1"/>
    </row>
    <row r="13" spans="1:214" ht="13.5" thickTop="1" x14ac:dyDescent="0.2">
      <c r="A13" s="442" t="s">
        <v>413</v>
      </c>
      <c r="B13" s="443"/>
      <c r="C13" s="444"/>
      <c r="D13" t="s">
        <v>95</v>
      </c>
      <c r="E13">
        <f>B46</f>
        <v>20</v>
      </c>
      <c r="F13" t="s">
        <v>78</v>
      </c>
      <c r="G13" t="s">
        <v>454</v>
      </c>
      <c r="H13" s="1">
        <f>H14/((1/H42)*(H50+H51+H52))</f>
        <v>11.989520441898446</v>
      </c>
      <c r="I13" t="s">
        <v>21</v>
      </c>
      <c r="J13" t="s">
        <v>411</v>
      </c>
      <c r="K13" s="1">
        <f>B29</f>
        <v>1600</v>
      </c>
      <c r="L13" t="s">
        <v>119</v>
      </c>
      <c r="M13" t="s">
        <v>105</v>
      </c>
      <c r="N13" s="1">
        <f>B3</f>
        <v>0.79200000000000004</v>
      </c>
      <c r="P13" t="s">
        <v>105</v>
      </c>
      <c r="Q13" s="1">
        <f>B6</f>
        <v>0.624</v>
      </c>
      <c r="S13" t="s">
        <v>105</v>
      </c>
      <c r="T13" s="1">
        <f>B10</f>
        <v>0.751</v>
      </c>
      <c r="V13" t="s">
        <v>96</v>
      </c>
      <c r="W13">
        <f>B47</f>
        <v>60</v>
      </c>
      <c r="X13" t="s">
        <v>78</v>
      </c>
      <c r="Y13" t="s">
        <v>96</v>
      </c>
      <c r="Z13">
        <f>B47</f>
        <v>60</v>
      </c>
      <c r="AA13" t="s">
        <v>78</v>
      </c>
      <c r="AB13" t="s">
        <v>378</v>
      </c>
      <c r="AF13">
        <v>50</v>
      </c>
      <c r="AG13">
        <v>50</v>
      </c>
      <c r="AH13" t="s">
        <v>379</v>
      </c>
      <c r="AI13" t="s">
        <v>105</v>
      </c>
      <c r="AJ13" s="1">
        <f>B3</f>
        <v>0.79200000000000004</v>
      </c>
      <c r="AL13" t="s">
        <v>105</v>
      </c>
      <c r="AM13" s="1">
        <f>B6</f>
        <v>0.624</v>
      </c>
      <c r="AO13" t="s">
        <v>105</v>
      </c>
      <c r="AP13" s="1">
        <f>B10</f>
        <v>0.751</v>
      </c>
      <c r="AR13" t="s">
        <v>105</v>
      </c>
      <c r="AS13" s="1">
        <f>B3</f>
        <v>0.79200000000000004</v>
      </c>
      <c r="AU13" t="s">
        <v>105</v>
      </c>
      <c r="AV13" s="1">
        <f>B6</f>
        <v>0.624</v>
      </c>
      <c r="AX13" t="s">
        <v>105</v>
      </c>
      <c r="AY13" s="1">
        <f>B10</f>
        <v>0.751</v>
      </c>
      <c r="BA13" t="s">
        <v>105</v>
      </c>
      <c r="BB13" s="1">
        <f>B3</f>
        <v>0.79200000000000004</v>
      </c>
      <c r="BD13" t="s">
        <v>105</v>
      </c>
      <c r="BE13" s="1">
        <f>B6</f>
        <v>0.624</v>
      </c>
      <c r="BG13" t="s">
        <v>105</v>
      </c>
      <c r="BH13" s="1">
        <f>B10</f>
        <v>0.751</v>
      </c>
      <c r="BJ13" t="s">
        <v>463</v>
      </c>
      <c r="BK13" s="1">
        <f>B2</f>
        <v>0.124</v>
      </c>
      <c r="BM13" t="s">
        <v>463</v>
      </c>
      <c r="BN13" s="1">
        <f>B5</f>
        <v>5.8099999999999999E-2</v>
      </c>
      <c r="BP13" t="s">
        <v>463</v>
      </c>
      <c r="BQ13" s="1">
        <f>B9</f>
        <v>0.10100000000000001</v>
      </c>
      <c r="BS13" t="s">
        <v>95</v>
      </c>
      <c r="BT13">
        <f>B46</f>
        <v>20</v>
      </c>
      <c r="BU13" t="s">
        <v>78</v>
      </c>
      <c r="BV13" t="s">
        <v>81</v>
      </c>
      <c r="BW13" s="426">
        <f>((BW18*BW21*BW23*BW26*BW14*BW33)+(BW19*BW22*BW24*BW27*BW15*BW34))</f>
        <v>147.6</v>
      </c>
      <c r="BX13" t="s">
        <v>180</v>
      </c>
      <c r="BY13" t="s">
        <v>451</v>
      </c>
      <c r="BZ13" s="1">
        <f>(BZ5/(BZ6*BZ16*(1/BZ36)))*BZ10</f>
        <v>42.976119357135154</v>
      </c>
      <c r="CA13" t="s">
        <v>22</v>
      </c>
      <c r="CB13" t="s">
        <v>166</v>
      </c>
      <c r="CC13">
        <v>1</v>
      </c>
      <c r="CD13" t="s">
        <v>117</v>
      </c>
      <c r="CE13" t="s">
        <v>166</v>
      </c>
      <c r="CF13">
        <v>1</v>
      </c>
      <c r="CG13" t="s">
        <v>117</v>
      </c>
      <c r="CH13" t="s">
        <v>166</v>
      </c>
      <c r="CI13">
        <v>1</v>
      </c>
      <c r="CJ13" t="s">
        <v>117</v>
      </c>
      <c r="CN13" t="s">
        <v>307</v>
      </c>
      <c r="CO13" s="17">
        <v>1</v>
      </c>
      <c r="CP13" t="s">
        <v>75</v>
      </c>
      <c r="CT13" t="s">
        <v>411</v>
      </c>
      <c r="CU13" s="1">
        <f>B29</f>
        <v>1600</v>
      </c>
      <c r="CV13" t="s">
        <v>119</v>
      </c>
      <c r="CW13" t="s">
        <v>95</v>
      </c>
      <c r="CX13">
        <f>B46</f>
        <v>20</v>
      </c>
      <c r="CY13" t="s">
        <v>78</v>
      </c>
      <c r="CZ13" t="s">
        <v>451</v>
      </c>
      <c r="DA13" s="1">
        <f>DA5/(DA6*DA24)</f>
        <v>1.2253580496220997</v>
      </c>
      <c r="DB13" t="s">
        <v>24</v>
      </c>
      <c r="DC13" t="s">
        <v>472</v>
      </c>
      <c r="DD13" s="1">
        <f>B53</f>
        <v>56.2</v>
      </c>
      <c r="DE13" t="s">
        <v>380</v>
      </c>
      <c r="DF13" t="s">
        <v>110</v>
      </c>
      <c r="DG13">
        <v>240</v>
      </c>
      <c r="DH13" t="s">
        <v>111</v>
      </c>
      <c r="DO13" t="s">
        <v>110</v>
      </c>
      <c r="DP13">
        <v>240</v>
      </c>
      <c r="DQ13" t="s">
        <v>111</v>
      </c>
      <c r="DR13" t="s">
        <v>227</v>
      </c>
      <c r="DS13">
        <v>1</v>
      </c>
      <c r="DT13" t="s">
        <v>119</v>
      </c>
      <c r="DX13" t="s">
        <v>112</v>
      </c>
      <c r="DY13">
        <v>1</v>
      </c>
      <c r="EA13" t="s">
        <v>112</v>
      </c>
      <c r="EB13">
        <v>1</v>
      </c>
      <c r="ED13" t="s">
        <v>112</v>
      </c>
      <c r="EE13">
        <v>1</v>
      </c>
      <c r="EG13" t="s">
        <v>227</v>
      </c>
      <c r="EH13">
        <v>1</v>
      </c>
      <c r="EI13" t="s">
        <v>119</v>
      </c>
      <c r="EM13" t="s">
        <v>113</v>
      </c>
      <c r="EN13">
        <v>1</v>
      </c>
      <c r="EP13" t="s">
        <v>113</v>
      </c>
      <c r="EQ13">
        <v>1</v>
      </c>
      <c r="ES13" t="s">
        <v>113</v>
      </c>
      <c r="ET13">
        <v>1</v>
      </c>
      <c r="EV13" t="s">
        <v>227</v>
      </c>
      <c r="EW13">
        <v>1</v>
      </c>
      <c r="EX13" t="s">
        <v>119</v>
      </c>
      <c r="FB13" t="s">
        <v>294</v>
      </c>
      <c r="FC13" s="17">
        <v>1</v>
      </c>
      <c r="FE13" t="s">
        <v>294</v>
      </c>
      <c r="FF13" s="17">
        <v>1</v>
      </c>
      <c r="FH13" t="s">
        <v>294</v>
      </c>
      <c r="FI13" s="17">
        <v>1</v>
      </c>
      <c r="FK13" t="s">
        <v>227</v>
      </c>
      <c r="FL13">
        <v>1</v>
      </c>
      <c r="FM13" t="s">
        <v>119</v>
      </c>
      <c r="FT13" t="s">
        <v>286</v>
      </c>
      <c r="FU13" s="17">
        <v>1</v>
      </c>
      <c r="FW13" t="s">
        <v>286</v>
      </c>
      <c r="FX13" s="17">
        <v>1</v>
      </c>
      <c r="FZ13" t="s">
        <v>227</v>
      </c>
      <c r="GA13">
        <v>1</v>
      </c>
      <c r="GB13" t="s">
        <v>119</v>
      </c>
      <c r="GF13" t="s">
        <v>278</v>
      </c>
      <c r="GG13">
        <v>1</v>
      </c>
      <c r="GI13" t="s">
        <v>278</v>
      </c>
      <c r="GJ13">
        <v>1</v>
      </c>
      <c r="GL13" t="s">
        <v>278</v>
      </c>
      <c r="GM13">
        <v>1</v>
      </c>
      <c r="GO13" t="s">
        <v>227</v>
      </c>
      <c r="GP13">
        <v>1</v>
      </c>
      <c r="GQ13" t="s">
        <v>119</v>
      </c>
      <c r="GU13" t="s">
        <v>283</v>
      </c>
      <c r="GV13">
        <v>1</v>
      </c>
      <c r="GX13" t="s">
        <v>283</v>
      </c>
      <c r="GY13">
        <v>1</v>
      </c>
      <c r="HA13" t="s">
        <v>283</v>
      </c>
      <c r="HB13">
        <v>1</v>
      </c>
      <c r="HD13" t="s">
        <v>391</v>
      </c>
      <c r="HE13" s="1">
        <v>10</v>
      </c>
    </row>
    <row r="14" spans="1:214" x14ac:dyDescent="0.2">
      <c r="A14" s="445"/>
      <c r="B14" s="446"/>
      <c r="C14" s="447"/>
      <c r="D14" t="s">
        <v>106</v>
      </c>
      <c r="E14">
        <v>24</v>
      </c>
      <c r="F14" t="s">
        <v>80</v>
      </c>
      <c r="G14" t="s">
        <v>455</v>
      </c>
      <c r="H14" s="1">
        <f>H5/(H9*(H22+H25)*H43)</f>
        <v>0.15484190641355175</v>
      </c>
      <c r="I14" t="s">
        <v>22</v>
      </c>
      <c r="J14" t="s">
        <v>451</v>
      </c>
      <c r="K14" s="1">
        <f>(K5/(K6*K19*(1/K48)))*K11</f>
        <v>22.447348057075061</v>
      </c>
      <c r="L14" t="s">
        <v>22</v>
      </c>
      <c r="M14" t="s">
        <v>114</v>
      </c>
      <c r="N14">
        <v>7.2999999999999995E-2</v>
      </c>
      <c r="O14" t="s">
        <v>115</v>
      </c>
      <c r="P14" t="s">
        <v>114</v>
      </c>
      <c r="Q14">
        <v>7.2999999999999995E-2</v>
      </c>
      <c r="R14" t="s">
        <v>115</v>
      </c>
      <c r="S14" t="s">
        <v>114</v>
      </c>
      <c r="T14">
        <v>7.2999999999999995E-2</v>
      </c>
      <c r="U14" t="s">
        <v>115</v>
      </c>
      <c r="V14" t="s">
        <v>445</v>
      </c>
      <c r="W14" s="1">
        <f>B26</f>
        <v>0</v>
      </c>
      <c r="X14" t="s">
        <v>107</v>
      </c>
      <c r="Y14" t="s">
        <v>445</v>
      </c>
      <c r="Z14" s="1">
        <f>B26</f>
        <v>0</v>
      </c>
      <c r="AA14" t="s">
        <v>107</v>
      </c>
      <c r="AB14" t="s">
        <v>116</v>
      </c>
      <c r="AF14">
        <v>8</v>
      </c>
      <c r="AG14">
        <v>8</v>
      </c>
      <c r="AH14" t="s">
        <v>80</v>
      </c>
      <c r="AI14" t="s">
        <v>114</v>
      </c>
      <c r="AJ14">
        <v>0</v>
      </c>
      <c r="AK14" t="s">
        <v>115</v>
      </c>
      <c r="AL14" t="s">
        <v>114</v>
      </c>
      <c r="AM14">
        <v>0</v>
      </c>
      <c r="AN14" t="s">
        <v>115</v>
      </c>
      <c r="AO14" t="s">
        <v>114</v>
      </c>
      <c r="AP14">
        <v>0</v>
      </c>
      <c r="AQ14" t="s">
        <v>115</v>
      </c>
      <c r="AR14" t="s">
        <v>114</v>
      </c>
      <c r="AS14">
        <f>8/24</f>
        <v>0.33333333333333331</v>
      </c>
      <c r="AT14" t="s">
        <v>115</v>
      </c>
      <c r="AU14" t="s">
        <v>114</v>
      </c>
      <c r="AV14">
        <f>8/24</f>
        <v>0.33333333333333331</v>
      </c>
      <c r="AW14" t="s">
        <v>115</v>
      </c>
      <c r="AX14" t="s">
        <v>116</v>
      </c>
      <c r="AY14">
        <f>8/24</f>
        <v>0.33333333333333331</v>
      </c>
      <c r="AZ14" t="s">
        <v>117</v>
      </c>
      <c r="BA14" t="s">
        <v>114</v>
      </c>
      <c r="BB14">
        <f>8/24</f>
        <v>0.33333333333333331</v>
      </c>
      <c r="BC14" t="s">
        <v>115</v>
      </c>
      <c r="BD14" t="s">
        <v>114</v>
      </c>
      <c r="BE14">
        <f>8/24</f>
        <v>0.33333333333333331</v>
      </c>
      <c r="BF14" t="s">
        <v>115</v>
      </c>
      <c r="BG14" t="s">
        <v>116</v>
      </c>
      <c r="BH14">
        <f>8/24</f>
        <v>0.33333333333333331</v>
      </c>
      <c r="BI14" t="s">
        <v>117</v>
      </c>
      <c r="BJ14" t="s">
        <v>105</v>
      </c>
      <c r="BK14" s="1">
        <f>B3</f>
        <v>0.79200000000000004</v>
      </c>
      <c r="BM14" t="s">
        <v>105</v>
      </c>
      <c r="BN14" s="1">
        <f>B6</f>
        <v>0.624</v>
      </c>
      <c r="BP14" t="s">
        <v>105</v>
      </c>
      <c r="BQ14" s="1">
        <f>B10</f>
        <v>0.751</v>
      </c>
      <c r="BS14" t="s">
        <v>399</v>
      </c>
      <c r="BT14">
        <v>1</v>
      </c>
      <c r="BU14" t="s">
        <v>80</v>
      </c>
      <c r="BV14" t="s">
        <v>97</v>
      </c>
      <c r="BW14">
        <f>B50</f>
        <v>0.78</v>
      </c>
      <c r="BX14" t="s">
        <v>89</v>
      </c>
      <c r="BY14" t="s">
        <v>452</v>
      </c>
      <c r="BZ14" s="1">
        <f>(BZ5/(BZ7*BZ17*(1/BZ9)*BZ35))*BZ10</f>
        <v>1121651.5266066769</v>
      </c>
      <c r="CA14" t="s">
        <v>22</v>
      </c>
      <c r="CB14" t="s">
        <v>460</v>
      </c>
      <c r="CC14" s="1">
        <f>B21</f>
        <v>10.6</v>
      </c>
      <c r="CD14" t="s">
        <v>121</v>
      </c>
      <c r="CE14" t="s">
        <v>460</v>
      </c>
      <c r="CF14" s="1">
        <f>B23</f>
        <v>0</v>
      </c>
      <c r="CG14" t="s">
        <v>121</v>
      </c>
      <c r="CH14" t="s">
        <v>460</v>
      </c>
      <c r="CI14" s="1">
        <f>B25</f>
        <v>0</v>
      </c>
      <c r="CJ14" t="s">
        <v>121</v>
      </c>
      <c r="CT14" t="s">
        <v>451</v>
      </c>
      <c r="CU14" s="1">
        <f>(CU5/(CU6*CU25*(1/CU48)))*CU11</f>
        <v>24.0966916589494</v>
      </c>
      <c r="CV14" t="s">
        <v>22</v>
      </c>
      <c r="CW14" t="s">
        <v>165</v>
      </c>
      <c r="CX14">
        <v>24</v>
      </c>
      <c r="CY14" t="s">
        <v>80</v>
      </c>
      <c r="CZ14" t="s">
        <v>452</v>
      </c>
      <c r="DA14" s="1">
        <f>DA5/(DA7*DA25*DA47)</f>
        <v>2.3760023760023761E-2</v>
      </c>
      <c r="DB14" t="s">
        <v>24</v>
      </c>
      <c r="DC14" t="s">
        <v>247</v>
      </c>
      <c r="DD14">
        <v>350</v>
      </c>
      <c r="DE14" t="s">
        <v>52</v>
      </c>
      <c r="DF14" t="s">
        <v>120</v>
      </c>
      <c r="DG14">
        <v>0.26</v>
      </c>
      <c r="DO14" t="s">
        <v>120</v>
      </c>
      <c r="DP14">
        <v>0.26</v>
      </c>
      <c r="DR14" t="s">
        <v>228</v>
      </c>
      <c r="DS14">
        <v>1</v>
      </c>
      <c r="DT14" t="s">
        <v>119</v>
      </c>
      <c r="ED14" t="s">
        <v>120</v>
      </c>
      <c r="EE14">
        <v>0.25</v>
      </c>
      <c r="EG14" t="s">
        <v>228</v>
      </c>
      <c r="EH14">
        <v>1</v>
      </c>
      <c r="EI14" t="s">
        <v>119</v>
      </c>
      <c r="ES14" t="s">
        <v>120</v>
      </c>
      <c r="ET14">
        <v>0.25</v>
      </c>
      <c r="EV14" t="s">
        <v>228</v>
      </c>
      <c r="EW14">
        <v>1</v>
      </c>
      <c r="EX14" t="s">
        <v>119</v>
      </c>
      <c r="FH14" t="s">
        <v>120</v>
      </c>
      <c r="FI14">
        <v>0.25</v>
      </c>
      <c r="FK14" t="s">
        <v>228</v>
      </c>
      <c r="FL14">
        <v>1</v>
      </c>
      <c r="FM14" t="s">
        <v>119</v>
      </c>
      <c r="FT14" t="s">
        <v>186</v>
      </c>
      <c r="FU14" s="1">
        <f>B34</f>
        <v>50</v>
      </c>
      <c r="FW14" t="s">
        <v>120</v>
      </c>
      <c r="FX14">
        <v>0.25</v>
      </c>
      <c r="FZ14" t="s">
        <v>228</v>
      </c>
      <c r="GA14">
        <v>1</v>
      </c>
      <c r="GB14" t="s">
        <v>119</v>
      </c>
      <c r="GL14" t="s">
        <v>279</v>
      </c>
      <c r="GM14">
        <v>0.25</v>
      </c>
      <c r="GO14" t="s">
        <v>228</v>
      </c>
      <c r="GP14">
        <v>1</v>
      </c>
      <c r="GQ14" t="s">
        <v>119</v>
      </c>
      <c r="HA14" t="s">
        <v>120</v>
      </c>
      <c r="HB14">
        <v>0.25</v>
      </c>
      <c r="HD14" t="s">
        <v>118</v>
      </c>
      <c r="HE14">
        <v>8.1999999999999993</v>
      </c>
    </row>
    <row r="15" spans="1:214" ht="13.5" thickBot="1" x14ac:dyDescent="0.25">
      <c r="A15" s="445"/>
      <c r="B15" s="446"/>
      <c r="C15" s="447"/>
      <c r="E15">
        <v>24</v>
      </c>
      <c r="F15" t="s">
        <v>80</v>
      </c>
      <c r="G15" t="s">
        <v>81</v>
      </c>
      <c r="H15" s="3">
        <f>(H32*H29*H17*H70)+(H33*H30*H18*H71)</f>
        <v>736.07692307692309</v>
      </c>
      <c r="I15" t="s">
        <v>180</v>
      </c>
      <c r="J15" t="s">
        <v>452</v>
      </c>
      <c r="K15" s="1">
        <f>(K5/(K7*K20*(1/K10)*K47))*K11</f>
        <v>16981.525441638354</v>
      </c>
      <c r="L15" t="s">
        <v>22</v>
      </c>
      <c r="M15" t="s">
        <v>460</v>
      </c>
      <c r="N15" s="1">
        <f>B21</f>
        <v>10.6</v>
      </c>
      <c r="O15" t="s">
        <v>121</v>
      </c>
      <c r="P15" t="s">
        <v>460</v>
      </c>
      <c r="Q15" s="1">
        <f>B23</f>
        <v>0</v>
      </c>
      <c r="R15" t="s">
        <v>121</v>
      </c>
      <c r="S15" t="s">
        <v>460</v>
      </c>
      <c r="T15" s="1">
        <f>B25</f>
        <v>0</v>
      </c>
      <c r="U15" t="s">
        <v>121</v>
      </c>
      <c r="V15" t="s">
        <v>464</v>
      </c>
      <c r="W15" s="1">
        <f>B2</f>
        <v>0.124</v>
      </c>
      <c r="Y15" t="s">
        <v>464</v>
      </c>
      <c r="Z15" s="1">
        <f>B2</f>
        <v>0.124</v>
      </c>
      <c r="AB15" t="s">
        <v>124</v>
      </c>
      <c r="AC15">
        <v>1</v>
      </c>
      <c r="AD15">
        <v>1</v>
      </c>
      <c r="AE15">
        <v>1</v>
      </c>
      <c r="AF15">
        <v>1</v>
      </c>
      <c r="AG15">
        <v>1</v>
      </c>
      <c r="AI15" t="s">
        <v>460</v>
      </c>
      <c r="AJ15" s="1">
        <f>B21</f>
        <v>10.6</v>
      </c>
      <c r="AK15" t="s">
        <v>121</v>
      </c>
      <c r="AL15" t="s">
        <v>460</v>
      </c>
      <c r="AM15" s="1">
        <f>B23</f>
        <v>0</v>
      </c>
      <c r="AN15" t="s">
        <v>121</v>
      </c>
      <c r="AO15" t="s">
        <v>460</v>
      </c>
      <c r="AP15" s="1">
        <f>B25</f>
        <v>0</v>
      </c>
      <c r="AQ15" t="s">
        <v>121</v>
      </c>
      <c r="AR15" t="s">
        <v>460</v>
      </c>
      <c r="AS15" s="1">
        <f>B21</f>
        <v>10.6</v>
      </c>
      <c r="AT15" t="s">
        <v>121</v>
      </c>
      <c r="AU15" t="s">
        <v>460</v>
      </c>
      <c r="AV15" s="1">
        <f>B23</f>
        <v>0</v>
      </c>
      <c r="AW15" t="s">
        <v>121</v>
      </c>
      <c r="AX15" t="s">
        <v>460</v>
      </c>
      <c r="AY15" s="1">
        <f>B25</f>
        <v>0</v>
      </c>
      <c r="AZ15" t="s">
        <v>121</v>
      </c>
      <c r="BA15" t="s">
        <v>460</v>
      </c>
      <c r="BB15" s="1">
        <f>B21</f>
        <v>10.6</v>
      </c>
      <c r="BC15" t="s">
        <v>121</v>
      </c>
      <c r="BD15" t="s">
        <v>460</v>
      </c>
      <c r="BE15" s="1">
        <f>B23</f>
        <v>0</v>
      </c>
      <c r="BF15" t="s">
        <v>121</v>
      </c>
      <c r="BG15" t="s">
        <v>460</v>
      </c>
      <c r="BH15" s="1">
        <f>B25</f>
        <v>0</v>
      </c>
      <c r="BI15" t="s">
        <v>121</v>
      </c>
      <c r="BJ15" t="s">
        <v>114</v>
      </c>
      <c r="BK15">
        <f>8/24</f>
        <v>0.33333333333333331</v>
      </c>
      <c r="BL15" t="s">
        <v>115</v>
      </c>
      <c r="BM15" t="s">
        <v>114</v>
      </c>
      <c r="BN15">
        <f>8/24</f>
        <v>0.33333333333333331</v>
      </c>
      <c r="BO15" t="s">
        <v>115</v>
      </c>
      <c r="BP15" t="s">
        <v>116</v>
      </c>
      <c r="BQ15">
        <f>8/24</f>
        <v>0.33333333333333331</v>
      </c>
      <c r="BR15" t="s">
        <v>117</v>
      </c>
      <c r="BS15" t="s">
        <v>398</v>
      </c>
      <c r="BT15">
        <v>1</v>
      </c>
      <c r="BU15" t="s">
        <v>80</v>
      </c>
      <c r="BV15" t="s">
        <v>123</v>
      </c>
      <c r="BW15">
        <f>B51</f>
        <v>2.5</v>
      </c>
      <c r="BX15" t="s">
        <v>89</v>
      </c>
      <c r="BY15" t="s">
        <v>453</v>
      </c>
      <c r="BZ15" s="1">
        <f>((BZ5)/(BZ8*BZ22*(1/BZ34)*BZ25*BZ28*(1/24)*BZ31*BZ32))*BZ10</f>
        <v>112.83222837913259</v>
      </c>
      <c r="CA15" t="s">
        <v>22</v>
      </c>
      <c r="CT15" t="s">
        <v>452</v>
      </c>
      <c r="CU15" s="1">
        <f>(CU5/(CU7*CU26*(1/CU10)*CU47))*CU11</f>
        <v>16289.323387639786</v>
      </c>
      <c r="CV15" t="s">
        <v>22</v>
      </c>
      <c r="CW15" t="s">
        <v>163</v>
      </c>
      <c r="CX15">
        <v>24</v>
      </c>
      <c r="CY15" t="s">
        <v>80</v>
      </c>
      <c r="CZ15" t="s">
        <v>457</v>
      </c>
      <c r="DA15" s="1" t="e">
        <f>DA5/(DA8*DA26*(DA48/DA49))</f>
        <v>#DIV/0!</v>
      </c>
      <c r="DB15" t="s">
        <v>24</v>
      </c>
      <c r="DC15" t="s">
        <v>246</v>
      </c>
      <c r="DD15">
        <v>350</v>
      </c>
      <c r="DE15" t="s">
        <v>52</v>
      </c>
      <c r="DF15" t="s">
        <v>125</v>
      </c>
      <c r="DG15">
        <v>0.42</v>
      </c>
      <c r="DH15" t="s">
        <v>75</v>
      </c>
      <c r="DO15" t="s">
        <v>125</v>
      </c>
      <c r="DP15">
        <v>0.42</v>
      </c>
      <c r="DQ15" t="s">
        <v>75</v>
      </c>
      <c r="DR15" t="s">
        <v>229</v>
      </c>
      <c r="DS15">
        <v>1</v>
      </c>
      <c r="DT15" t="s">
        <v>119</v>
      </c>
      <c r="ED15" t="s">
        <v>55</v>
      </c>
      <c r="EE15">
        <v>92</v>
      </c>
      <c r="EF15" t="s">
        <v>56</v>
      </c>
      <c r="EG15" t="s">
        <v>229</v>
      </c>
      <c r="EH15">
        <v>1</v>
      </c>
      <c r="EI15" t="s">
        <v>119</v>
      </c>
      <c r="ES15" t="s">
        <v>57</v>
      </c>
      <c r="ET15">
        <v>53</v>
      </c>
      <c r="EU15" t="s">
        <v>56</v>
      </c>
      <c r="EV15" t="s">
        <v>229</v>
      </c>
      <c r="EW15">
        <v>1</v>
      </c>
      <c r="EX15" t="s">
        <v>119</v>
      </c>
      <c r="FH15" t="s">
        <v>271</v>
      </c>
      <c r="FI15">
        <v>0.4</v>
      </c>
      <c r="FJ15" t="s">
        <v>56</v>
      </c>
      <c r="FK15" t="s">
        <v>229</v>
      </c>
      <c r="FL15">
        <v>1</v>
      </c>
      <c r="FM15" t="s">
        <v>119</v>
      </c>
      <c r="FT15" t="s">
        <v>296</v>
      </c>
      <c r="FU15" s="1">
        <v>8.1999999999999993</v>
      </c>
      <c r="FW15" t="s">
        <v>274</v>
      </c>
      <c r="FX15" s="17">
        <v>1</v>
      </c>
      <c r="FY15" t="s">
        <v>56</v>
      </c>
      <c r="FZ15" t="s">
        <v>229</v>
      </c>
      <c r="GA15">
        <v>1</v>
      </c>
      <c r="GB15" t="s">
        <v>119</v>
      </c>
      <c r="GL15" t="s">
        <v>272</v>
      </c>
      <c r="GM15">
        <v>0.4</v>
      </c>
      <c r="GN15" t="s">
        <v>56</v>
      </c>
      <c r="GO15" t="s">
        <v>229</v>
      </c>
      <c r="GP15">
        <v>1</v>
      </c>
      <c r="GQ15" t="s">
        <v>119</v>
      </c>
      <c r="HA15" t="s">
        <v>273</v>
      </c>
      <c r="HB15">
        <v>11.4</v>
      </c>
      <c r="HC15" t="s">
        <v>56</v>
      </c>
    </row>
    <row r="16" spans="1:214" ht="14.25" thickTop="1" thickBot="1" x14ac:dyDescent="0.25">
      <c r="A16" s="448"/>
      <c r="B16" s="449"/>
      <c r="C16" s="450"/>
      <c r="D16" t="s">
        <v>122</v>
      </c>
      <c r="E16">
        <v>1</v>
      </c>
      <c r="F16" t="s">
        <v>59</v>
      </c>
      <c r="G16" t="s">
        <v>77</v>
      </c>
      <c r="H16" s="426">
        <f>(H29*H19*H32*H70)+(H30*H20*H33*H71)</f>
        <v>6192.3076923076924</v>
      </c>
      <c r="I16" t="s">
        <v>407</v>
      </c>
      <c r="J16" t="s">
        <v>453</v>
      </c>
      <c r="K16" s="1">
        <f>(K5/(K8*K44*((K39*K43*(1/K37))+(K40*K42*(1/K37)))*K32*(1/K46)*K33))*K11</f>
        <v>0.44196183188326355</v>
      </c>
      <c r="L16" t="s">
        <v>22</v>
      </c>
      <c r="M16" t="s">
        <v>136</v>
      </c>
      <c r="N16">
        <v>0.68300000000000005</v>
      </c>
      <c r="O16" t="s">
        <v>115</v>
      </c>
      <c r="P16" t="s">
        <v>136</v>
      </c>
      <c r="Q16">
        <v>0.68300000000000005</v>
      </c>
      <c r="R16" t="s">
        <v>115</v>
      </c>
      <c r="S16" t="s">
        <v>136</v>
      </c>
      <c r="T16">
        <v>0.68300000000000005</v>
      </c>
      <c r="U16" t="s">
        <v>115</v>
      </c>
      <c r="V16" t="s">
        <v>452</v>
      </c>
      <c r="W16" s="1">
        <f>(W5)/((W11/W12)*W8*W9*W10*W13)</f>
        <v>1.7094017094017096E-2</v>
      </c>
      <c r="X16" t="s">
        <v>36</v>
      </c>
      <c r="Y16" t="s">
        <v>452</v>
      </c>
      <c r="Z16" s="1">
        <f>(Z5)/((Z11/Z12)*Z8*Z9*Z10*Z13)</f>
        <v>1.5384615384615385E-2</v>
      </c>
      <c r="AA16" t="s">
        <v>36</v>
      </c>
      <c r="AB16" t="s">
        <v>128</v>
      </c>
      <c r="AC16">
        <v>100</v>
      </c>
      <c r="AD16">
        <v>50</v>
      </c>
      <c r="AE16">
        <v>100</v>
      </c>
      <c r="AF16">
        <v>330</v>
      </c>
      <c r="AG16">
        <v>330</v>
      </c>
      <c r="AI16" t="s">
        <v>136</v>
      </c>
      <c r="AJ16">
        <f>8/24</f>
        <v>0.33333333333333331</v>
      </c>
      <c r="AK16" t="s">
        <v>115</v>
      </c>
      <c r="AL16" t="s">
        <v>136</v>
      </c>
      <c r="AM16">
        <f>8/24</f>
        <v>0.33333333333333331</v>
      </c>
      <c r="AN16" t="s">
        <v>115</v>
      </c>
      <c r="AO16" t="s">
        <v>136</v>
      </c>
      <c r="AP16">
        <f>8/24</f>
        <v>0.33333333333333331</v>
      </c>
      <c r="AQ16" t="s">
        <v>115</v>
      </c>
      <c r="AR16" t="s">
        <v>136</v>
      </c>
      <c r="AS16">
        <v>0</v>
      </c>
      <c r="AT16" t="s">
        <v>115</v>
      </c>
      <c r="AU16" t="s">
        <v>136</v>
      </c>
      <c r="AV16">
        <v>0</v>
      </c>
      <c r="AW16" t="s">
        <v>115</v>
      </c>
      <c r="AX16" t="s">
        <v>136</v>
      </c>
      <c r="AY16">
        <v>0</v>
      </c>
      <c r="AZ16" t="s">
        <v>115</v>
      </c>
      <c r="BA16" t="s">
        <v>136</v>
      </c>
      <c r="BB16">
        <v>0</v>
      </c>
      <c r="BC16" t="s">
        <v>115</v>
      </c>
      <c r="BD16" t="s">
        <v>136</v>
      </c>
      <c r="BE16">
        <v>0</v>
      </c>
      <c r="BF16" t="s">
        <v>115</v>
      </c>
      <c r="BG16" t="s">
        <v>136</v>
      </c>
      <c r="BH16">
        <v>0</v>
      </c>
      <c r="BI16" t="s">
        <v>115</v>
      </c>
      <c r="BJ16" t="s">
        <v>460</v>
      </c>
      <c r="BK16" s="1">
        <f>B21</f>
        <v>10.6</v>
      </c>
      <c r="BL16" t="s">
        <v>121</v>
      </c>
      <c r="BM16" t="s">
        <v>460</v>
      </c>
      <c r="BN16" s="1">
        <f>B23</f>
        <v>0</v>
      </c>
      <c r="BO16" t="s">
        <v>121</v>
      </c>
      <c r="BP16" t="s">
        <v>460</v>
      </c>
      <c r="BQ16" s="1">
        <f>B25</f>
        <v>0</v>
      </c>
      <c r="BR16" t="s">
        <v>121</v>
      </c>
      <c r="BS16" t="s">
        <v>166</v>
      </c>
      <c r="BT16">
        <v>1</v>
      </c>
      <c r="BU16" t="s">
        <v>80</v>
      </c>
      <c r="BV16" t="s">
        <v>240</v>
      </c>
      <c r="BW16" s="427">
        <f>((BW18*BW21*BW23*BW26*BW33)+(BW19*BW22*BW24*BW27*BW34))</f>
        <v>90</v>
      </c>
      <c r="BX16" t="s">
        <v>408</v>
      </c>
      <c r="BY16" t="s">
        <v>82</v>
      </c>
      <c r="BZ16" s="427">
        <f>(BZ18*BZ22*BZ27*BZ37)+(BZ19*BZ23*BZ26*BZ38)</f>
        <v>22500</v>
      </c>
      <c r="CA16" t="s">
        <v>406</v>
      </c>
      <c r="CB16" s="403" t="s">
        <v>8</v>
      </c>
      <c r="CC16" s="76" t="s">
        <v>394</v>
      </c>
      <c r="CD16" s="77" t="s">
        <v>0</v>
      </c>
      <c r="CE16" s="230" t="s">
        <v>8</v>
      </c>
      <c r="CF16" s="76" t="s">
        <v>183</v>
      </c>
      <c r="CG16" s="77" t="s">
        <v>0</v>
      </c>
      <c r="CK16" s="394" t="s">
        <v>8</v>
      </c>
      <c r="CL16" s="395" t="s">
        <v>302</v>
      </c>
      <c r="CM16" s="396" t="s">
        <v>0</v>
      </c>
      <c r="CN16" s="76" t="s">
        <v>8</v>
      </c>
      <c r="CO16" s="76" t="s">
        <v>302</v>
      </c>
      <c r="CP16" s="77" t="s">
        <v>0</v>
      </c>
      <c r="CQ16" s="230" t="s">
        <v>8</v>
      </c>
      <c r="CR16" s="76" t="s">
        <v>302</v>
      </c>
      <c r="CS16" s="77" t="s">
        <v>0</v>
      </c>
      <c r="CT16" t="s">
        <v>453</v>
      </c>
      <c r="CU16" s="1">
        <f>(CU5/(CU8*CU44*((CU39*CU43*(1/CU37))+(CU40*CU42*(1/CU37)))*CU32*(1/CU46)*CU33))*CU11</f>
        <v>0.54556930665500858</v>
      </c>
      <c r="CV16" t="s">
        <v>22</v>
      </c>
      <c r="CW16" t="s">
        <v>122</v>
      </c>
      <c r="CX16">
        <v>1</v>
      </c>
      <c r="CY16" t="s">
        <v>59</v>
      </c>
      <c r="CZ16" t="s">
        <v>476</v>
      </c>
      <c r="DA16" s="1">
        <f>DG3</f>
        <v>2.8072815673160694</v>
      </c>
      <c r="DB16" t="s">
        <v>24</v>
      </c>
      <c r="DC16" t="s">
        <v>227</v>
      </c>
      <c r="DD16">
        <v>1</v>
      </c>
      <c r="DE16" t="s">
        <v>119</v>
      </c>
      <c r="DF16" t="s">
        <v>129</v>
      </c>
      <c r="DG16">
        <f>DG20+(0.693/DG22)</f>
        <v>4.9501186643835612E-2</v>
      </c>
      <c r="DH16" t="s">
        <v>130</v>
      </c>
      <c r="DO16" t="s">
        <v>129</v>
      </c>
      <c r="DP16">
        <f>DP20+(0.693/DP22)</f>
        <v>4.9499999999999995E-2</v>
      </c>
      <c r="DQ16" t="s">
        <v>130</v>
      </c>
      <c r="DS16">
        <v>1000</v>
      </c>
      <c r="DT16" t="s">
        <v>179</v>
      </c>
      <c r="ED16" t="s">
        <v>129</v>
      </c>
      <c r="EE16">
        <f>EE20+(0.693/EE22)</f>
        <v>4.9499999999999995E-2</v>
      </c>
      <c r="EF16" t="s">
        <v>130</v>
      </c>
      <c r="EH16">
        <v>1000</v>
      </c>
      <c r="EI16" t="s">
        <v>179</v>
      </c>
      <c r="ES16" t="s">
        <v>129</v>
      </c>
      <c r="ET16">
        <f>ET20+(0.693/ET22)</f>
        <v>4.9499999999999995E-2</v>
      </c>
      <c r="EU16" t="s">
        <v>130</v>
      </c>
      <c r="EW16" s="15">
        <v>1000</v>
      </c>
      <c r="EX16" t="s">
        <v>179</v>
      </c>
      <c r="FH16" t="s">
        <v>129</v>
      </c>
      <c r="FI16">
        <v>4.9499999999999995E-2</v>
      </c>
      <c r="FJ16" t="s">
        <v>130</v>
      </c>
      <c r="FL16">
        <v>1000</v>
      </c>
      <c r="FM16" t="s">
        <v>179</v>
      </c>
      <c r="FW16" t="s">
        <v>129</v>
      </c>
      <c r="FX16">
        <f>FX20+(0.693/FX22)</f>
        <v>4.9499999999999995E-2</v>
      </c>
      <c r="FY16" t="s">
        <v>130</v>
      </c>
      <c r="GA16">
        <v>1000</v>
      </c>
      <c r="GB16" t="s">
        <v>179</v>
      </c>
      <c r="GL16" t="s">
        <v>129</v>
      </c>
      <c r="GM16">
        <f>GM20+(0.693/GM22)</f>
        <v>4.9499999999999995E-2</v>
      </c>
      <c r="GN16" t="s">
        <v>130</v>
      </c>
      <c r="GO16" t="s">
        <v>270</v>
      </c>
      <c r="GP16">
        <v>1</v>
      </c>
      <c r="HA16" t="s">
        <v>129</v>
      </c>
      <c r="HB16">
        <f>HB20+(0.693/HB22)</f>
        <v>4.9499999999999995E-2</v>
      </c>
      <c r="HC16" t="s">
        <v>130</v>
      </c>
    </row>
    <row r="17" spans="1:214" ht="14.25" thickTop="1" thickBot="1" x14ac:dyDescent="0.25">
      <c r="A17" t="s">
        <v>436</v>
      </c>
      <c r="B17" s="410">
        <v>1.2999999999999999E-2</v>
      </c>
      <c r="C17" t="s">
        <v>448</v>
      </c>
      <c r="D17" t="s">
        <v>126</v>
      </c>
      <c r="E17">
        <v>1</v>
      </c>
      <c r="F17" t="s">
        <v>59</v>
      </c>
      <c r="G17" t="s">
        <v>97</v>
      </c>
      <c r="H17">
        <f>B50</f>
        <v>0.78</v>
      </c>
      <c r="J17" t="s">
        <v>454</v>
      </c>
      <c r="K17" s="1">
        <f>K18/(K49+K50)</f>
        <v>0.5932640092473247</v>
      </c>
      <c r="L17" t="s">
        <v>22</v>
      </c>
      <c r="V17" t="s">
        <v>477</v>
      </c>
      <c r="W17" s="1" t="e">
        <f>(W5)/((W11/W12)*W8*W9*W14*(1/365))</f>
        <v>#DIV/0!</v>
      </c>
      <c r="X17" t="s">
        <v>36</v>
      </c>
      <c r="Y17" t="s">
        <v>477</v>
      </c>
      <c r="Z17" s="1" t="e">
        <f>(Z5)/((Z11/Z12)*Z8*Z9*Z14*(1/365))</f>
        <v>#DIV/0!</v>
      </c>
      <c r="AA17" t="s">
        <v>36</v>
      </c>
      <c r="BS17" t="s">
        <v>122</v>
      </c>
      <c r="BT17">
        <v>1</v>
      </c>
      <c r="BU17" t="s">
        <v>59</v>
      </c>
      <c r="BV17" t="s">
        <v>131</v>
      </c>
      <c r="BW17">
        <v>0.5</v>
      </c>
      <c r="BX17" t="s">
        <v>132</v>
      </c>
      <c r="BY17" t="s">
        <v>77</v>
      </c>
      <c r="BZ17" s="427">
        <f>(BZ27*BZ24*BZ20*(BZ29/24)*BZ37)+(BZ26*BZ23*BZ21*(BZ30/24)*BZ38)</f>
        <v>93.75</v>
      </c>
      <c r="CA17" t="s">
        <v>407</v>
      </c>
      <c r="CB17" s="404" t="s">
        <v>32</v>
      </c>
      <c r="CC17" s="78" t="s">
        <v>13</v>
      </c>
      <c r="CD17" s="79" t="s">
        <v>22</v>
      </c>
      <c r="CE17" s="231" t="s">
        <v>32</v>
      </c>
      <c r="CF17" s="78" t="s">
        <v>13</v>
      </c>
      <c r="CG17" s="79" t="s">
        <v>22</v>
      </c>
      <c r="CK17" s="397" t="s">
        <v>303</v>
      </c>
      <c r="CL17" s="78"/>
      <c r="CM17" s="398" t="s">
        <v>22</v>
      </c>
      <c r="CN17" s="78" t="s">
        <v>11</v>
      </c>
      <c r="CO17" s="78"/>
      <c r="CP17" s="79" t="s">
        <v>22</v>
      </c>
      <c r="CQ17" s="231" t="s">
        <v>10</v>
      </c>
      <c r="CR17" s="78"/>
      <c r="CS17" s="79" t="s">
        <v>22</v>
      </c>
      <c r="CT17" t="s">
        <v>454</v>
      </c>
      <c r="CU17" s="1">
        <f>DJ3</f>
        <v>0.13890956905098137</v>
      </c>
      <c r="CV17" t="s">
        <v>22</v>
      </c>
      <c r="CW17" t="s">
        <v>126</v>
      </c>
      <c r="CX17">
        <v>1</v>
      </c>
      <c r="CY17" t="s">
        <v>59</v>
      </c>
      <c r="CZ17" t="s">
        <v>478</v>
      </c>
      <c r="DA17" s="1">
        <f>DD3</f>
        <v>3.6255397522306138E-2</v>
      </c>
      <c r="DB17" t="s">
        <v>22</v>
      </c>
      <c r="DC17" t="s">
        <v>228</v>
      </c>
      <c r="DD17">
        <v>1</v>
      </c>
      <c r="DE17" t="s">
        <v>119</v>
      </c>
      <c r="DF17" t="s">
        <v>133</v>
      </c>
      <c r="DG17">
        <v>60</v>
      </c>
      <c r="DH17" t="s">
        <v>102</v>
      </c>
      <c r="DO17" t="s">
        <v>133</v>
      </c>
      <c r="DP17">
        <v>60</v>
      </c>
      <c r="DQ17" t="s">
        <v>102</v>
      </c>
      <c r="DR17" t="s">
        <v>256</v>
      </c>
      <c r="DS17">
        <v>1</v>
      </c>
      <c r="ED17" t="s">
        <v>133</v>
      </c>
      <c r="EE17">
        <v>60</v>
      </c>
      <c r="EF17" t="s">
        <v>102</v>
      </c>
      <c r="EG17" t="s">
        <v>259</v>
      </c>
      <c r="EH17">
        <v>1</v>
      </c>
      <c r="ES17" t="s">
        <v>133</v>
      </c>
      <c r="ET17">
        <v>60</v>
      </c>
      <c r="EU17" t="s">
        <v>102</v>
      </c>
      <c r="EV17" t="s">
        <v>264</v>
      </c>
      <c r="EW17">
        <v>1</v>
      </c>
      <c r="FH17" t="s">
        <v>133</v>
      </c>
      <c r="FI17">
        <v>60</v>
      </c>
      <c r="FJ17" t="s">
        <v>102</v>
      </c>
      <c r="FK17" t="s">
        <v>265</v>
      </c>
      <c r="FL17">
        <v>1</v>
      </c>
      <c r="FW17" t="s">
        <v>133</v>
      </c>
      <c r="FX17">
        <v>60</v>
      </c>
      <c r="FY17" t="s">
        <v>102</v>
      </c>
      <c r="FZ17" t="s">
        <v>139</v>
      </c>
      <c r="GA17">
        <v>1</v>
      </c>
      <c r="GL17" t="s">
        <v>133</v>
      </c>
      <c r="GM17">
        <v>60</v>
      </c>
      <c r="GN17" t="s">
        <v>102</v>
      </c>
      <c r="GP17">
        <v>365</v>
      </c>
      <c r="GQ17" t="s">
        <v>52</v>
      </c>
      <c r="HA17" t="s">
        <v>133</v>
      </c>
      <c r="HB17">
        <v>60</v>
      </c>
      <c r="HC17" t="s">
        <v>102</v>
      </c>
    </row>
    <row r="18" spans="1:214" ht="13.5" thickTop="1" x14ac:dyDescent="0.2">
      <c r="A18" t="s">
        <v>437</v>
      </c>
      <c r="B18" s="410">
        <v>1.0399999999999999E-3</v>
      </c>
      <c r="C18" t="s">
        <v>448</v>
      </c>
      <c r="D18" t="s">
        <v>445</v>
      </c>
      <c r="E18" s="1">
        <f>B26</f>
        <v>0</v>
      </c>
      <c r="F18" t="s">
        <v>107</v>
      </c>
      <c r="G18" t="s">
        <v>123</v>
      </c>
      <c r="H18">
        <f>B51</f>
        <v>2.5</v>
      </c>
      <c r="J18" t="s">
        <v>455</v>
      </c>
      <c r="K18" s="1">
        <f>K5/(K9*(K25+K28)*K38)</f>
        <v>0.15484190641355175</v>
      </c>
      <c r="L18" t="s">
        <v>22</v>
      </c>
      <c r="M18" s="117" t="s">
        <v>13</v>
      </c>
      <c r="N18" s="118" t="s">
        <v>142</v>
      </c>
      <c r="O18" s="118" t="s">
        <v>0</v>
      </c>
      <c r="P18" s="252" t="s">
        <v>13</v>
      </c>
      <c r="Q18" s="118" t="s">
        <v>183</v>
      </c>
      <c r="R18" s="119" t="s">
        <v>0</v>
      </c>
      <c r="V18" t="s">
        <v>452</v>
      </c>
      <c r="W18" s="1">
        <f>(W5*W6*W9)/((W11/W12)*(1-EXP(-W6*W9))*W10*W13*W8*W9)</f>
        <v>1.7097719284326643E-2</v>
      </c>
      <c r="X18" t="s">
        <v>37</v>
      </c>
      <c r="Y18" t="s">
        <v>452</v>
      </c>
      <c r="Z18" s="1">
        <f>(Z5*Z6*Z9)/((Z11/Z12)*(1-EXP(-Z6*Z9))*Z10*Z13*Z8*Z9)</f>
        <v>1.538794735589398E-2</v>
      </c>
      <c r="AA18" t="s">
        <v>37</v>
      </c>
      <c r="AI18" s="133" t="s">
        <v>13</v>
      </c>
      <c r="AJ18" s="134" t="s">
        <v>142</v>
      </c>
      <c r="AK18" s="134" t="s">
        <v>0</v>
      </c>
      <c r="AL18" s="233" t="s">
        <v>13</v>
      </c>
      <c r="AM18" s="134" t="s">
        <v>183</v>
      </c>
      <c r="AN18" s="135" t="s">
        <v>0</v>
      </c>
      <c r="AR18" s="141" t="s">
        <v>13</v>
      </c>
      <c r="AS18" s="142" t="s">
        <v>142</v>
      </c>
      <c r="AT18" s="142" t="s">
        <v>0</v>
      </c>
      <c r="AU18" s="236" t="s">
        <v>13</v>
      </c>
      <c r="AV18" s="142" t="s">
        <v>183</v>
      </c>
      <c r="AW18" s="143" t="s">
        <v>0</v>
      </c>
      <c r="BA18" s="141" t="s">
        <v>13</v>
      </c>
      <c r="BB18" s="142" t="s">
        <v>142</v>
      </c>
      <c r="BC18" s="142" t="s">
        <v>0</v>
      </c>
      <c r="BD18" s="236" t="s">
        <v>13</v>
      </c>
      <c r="BE18" s="142" t="s">
        <v>183</v>
      </c>
      <c r="BF18" s="143" t="s">
        <v>0</v>
      </c>
      <c r="BJ18" s="141" t="s">
        <v>13</v>
      </c>
      <c r="BK18" s="142" t="s">
        <v>142</v>
      </c>
      <c r="BL18" s="142" t="s">
        <v>0</v>
      </c>
      <c r="BM18" s="236" t="s">
        <v>13</v>
      </c>
      <c r="BN18" s="142" t="s">
        <v>183</v>
      </c>
      <c r="BO18" s="143" t="s">
        <v>0</v>
      </c>
      <c r="BS18" t="s">
        <v>126</v>
      </c>
      <c r="BT18">
        <v>1</v>
      </c>
      <c r="BU18" t="s">
        <v>59</v>
      </c>
      <c r="BV18" t="s">
        <v>403</v>
      </c>
      <c r="BW18">
        <v>45</v>
      </c>
      <c r="BX18" t="s">
        <v>52</v>
      </c>
      <c r="BY18" t="s">
        <v>108</v>
      </c>
      <c r="BZ18">
        <f>B48</f>
        <v>200</v>
      </c>
      <c r="CA18" t="s">
        <v>90</v>
      </c>
      <c r="CB18" s="404" t="s">
        <v>475</v>
      </c>
      <c r="CC18" s="80" t="e">
        <f>(CC20*CC21*CC22)/((1-EXP(-CC22*CC21))*CC25*CC29*(CC24/365)*CC27*(CC28/24)*CC26)</f>
        <v>#DIV/0!</v>
      </c>
      <c r="CD18" s="79"/>
      <c r="CE18" s="231" t="s">
        <v>475</v>
      </c>
      <c r="CF18" s="80" t="e">
        <f>(CF20*CF21*CF22)/((1-EXP(-CF22*CF21))*CF25*CF29*(CF24/365)*CF27*(CF28/24)*CF26)</f>
        <v>#DIV/0!</v>
      </c>
      <c r="CG18" s="79"/>
      <c r="CK18" s="397" t="s">
        <v>456</v>
      </c>
      <c r="CL18" s="80">
        <f>CL20/(CL21*CL22*CL23*CL24)</f>
        <v>12.820512820512821</v>
      </c>
      <c r="CM18" s="398"/>
      <c r="CN18" s="78" t="s">
        <v>456</v>
      </c>
      <c r="CO18" s="80" t="e">
        <f>CL18/(CO20*((CO25*CO27*CO28*(CO21+CO22))+(CO26*CO27)))</f>
        <v>#DIV/0!</v>
      </c>
      <c r="CP18" s="79"/>
      <c r="CQ18" s="231" t="s">
        <v>456</v>
      </c>
      <c r="CR18" s="80" t="e">
        <f>CL18/(CR20*CR21*(1/CR22))</f>
        <v>#DIV/0!</v>
      </c>
      <c r="CS18" s="79"/>
      <c r="CT18" t="s">
        <v>455</v>
      </c>
      <c r="CU18" s="1">
        <f>DD3</f>
        <v>3.6255397522306138E-2</v>
      </c>
      <c r="CV18" t="s">
        <v>22</v>
      </c>
      <c r="CW18" t="s">
        <v>445</v>
      </c>
      <c r="CX18" s="1">
        <f>B26</f>
        <v>0</v>
      </c>
      <c r="CY18" t="s">
        <v>107</v>
      </c>
      <c r="CZ18" t="s">
        <v>479</v>
      </c>
      <c r="DA18" s="1" t="e">
        <f>EZ3</f>
        <v>#DIV/0!</v>
      </c>
      <c r="DC18" t="s">
        <v>229</v>
      </c>
      <c r="DD18">
        <v>1</v>
      </c>
      <c r="DE18" t="s">
        <v>119</v>
      </c>
      <c r="DF18" t="s">
        <v>135</v>
      </c>
      <c r="DG18">
        <v>2</v>
      </c>
      <c r="DH18" t="s">
        <v>111</v>
      </c>
      <c r="DO18" t="s">
        <v>135</v>
      </c>
      <c r="DP18">
        <v>2</v>
      </c>
      <c r="DQ18" t="s">
        <v>111</v>
      </c>
      <c r="DS18">
        <v>365</v>
      </c>
      <c r="DT18" t="s">
        <v>52</v>
      </c>
      <c r="ED18" t="s">
        <v>135</v>
      </c>
      <c r="EE18">
        <v>2</v>
      </c>
      <c r="EF18" t="s">
        <v>111</v>
      </c>
      <c r="EH18">
        <v>365</v>
      </c>
      <c r="EI18" t="s">
        <v>245</v>
      </c>
      <c r="ES18" t="s">
        <v>135</v>
      </c>
      <c r="ET18">
        <v>2</v>
      </c>
      <c r="EU18" t="s">
        <v>111</v>
      </c>
      <c r="EW18">
        <v>365</v>
      </c>
      <c r="EX18" t="s">
        <v>52</v>
      </c>
      <c r="FH18" t="s">
        <v>135</v>
      </c>
      <c r="FI18">
        <v>2</v>
      </c>
      <c r="FJ18" t="s">
        <v>111</v>
      </c>
      <c r="FL18">
        <v>365</v>
      </c>
      <c r="FM18" t="s">
        <v>52</v>
      </c>
      <c r="FW18" t="s">
        <v>135</v>
      </c>
      <c r="FX18">
        <v>2</v>
      </c>
      <c r="FY18" t="s">
        <v>111</v>
      </c>
      <c r="GA18">
        <v>365</v>
      </c>
      <c r="GB18" t="s">
        <v>52</v>
      </c>
      <c r="GL18" t="s">
        <v>135</v>
      </c>
      <c r="GM18">
        <v>2</v>
      </c>
      <c r="GN18" t="s">
        <v>111</v>
      </c>
      <c r="GO18" t="s">
        <v>433</v>
      </c>
      <c r="GP18" s="1">
        <f>B61</f>
        <v>0.15</v>
      </c>
      <c r="HA18" t="s">
        <v>135</v>
      </c>
      <c r="HB18">
        <v>2</v>
      </c>
      <c r="HC18" t="s">
        <v>111</v>
      </c>
    </row>
    <row r="19" spans="1:214" ht="13.5" thickBot="1" x14ac:dyDescent="0.25">
      <c r="A19" t="s">
        <v>438</v>
      </c>
      <c r="B19" s="410">
        <v>1.0399999999999999E-3</v>
      </c>
      <c r="C19" t="s">
        <v>448</v>
      </c>
      <c r="D19" t="s">
        <v>464</v>
      </c>
      <c r="E19" s="1">
        <f>B2</f>
        <v>0.124</v>
      </c>
      <c r="G19" t="s">
        <v>223</v>
      </c>
      <c r="H19">
        <f>B45</f>
        <v>10</v>
      </c>
      <c r="J19" t="s">
        <v>82</v>
      </c>
      <c r="K19" s="428">
        <f>K21*K31*K35*K53+K22*K32*K34*K54</f>
        <v>43076.923076923078</v>
      </c>
      <c r="L19" t="s">
        <v>406</v>
      </c>
      <c r="M19" s="120" t="s">
        <v>32</v>
      </c>
      <c r="N19" s="121" t="s">
        <v>33</v>
      </c>
      <c r="O19" s="131" t="s">
        <v>146</v>
      </c>
      <c r="P19" s="253" t="s">
        <v>32</v>
      </c>
      <c r="Q19" s="121" t="s">
        <v>33</v>
      </c>
      <c r="R19" s="122" t="s">
        <v>22</v>
      </c>
      <c r="V19" t="s">
        <v>477</v>
      </c>
      <c r="W19" s="1" t="e">
        <f>(W5*W6*W9)/((W11/W12)*(1-EXP(-W6*W9))*W14*W8*W9*(1/365))</f>
        <v>#DIV/0!</v>
      </c>
      <c r="X19" t="s">
        <v>37</v>
      </c>
      <c r="Y19" t="s">
        <v>477</v>
      </c>
      <c r="Z19" s="1" t="e">
        <f>(Z5*Z6*Z9)/((Z11/Z12)*(1-EXP(-Z6*Z9))*Z14*Z8*Z9*(1/365))</f>
        <v>#DIV/0!</v>
      </c>
      <c r="AA19" t="s">
        <v>37</v>
      </c>
      <c r="AB19" t="s">
        <v>463</v>
      </c>
      <c r="AC19" s="1">
        <f>B2</f>
        <v>0.124</v>
      </c>
      <c r="AD19" s="1">
        <f>B2</f>
        <v>0.124</v>
      </c>
      <c r="AE19" s="1">
        <f>B2</f>
        <v>0.124</v>
      </c>
      <c r="AF19" s="1">
        <f>B2</f>
        <v>0.124</v>
      </c>
      <c r="AG19" s="1">
        <f>B2</f>
        <v>0.124</v>
      </c>
      <c r="AI19" s="136" t="s">
        <v>5</v>
      </c>
      <c r="AJ19" s="84" t="s">
        <v>34</v>
      </c>
      <c r="AK19" s="151" t="s">
        <v>146</v>
      </c>
      <c r="AL19" s="234" t="s">
        <v>5</v>
      </c>
      <c r="AM19" s="84" t="s">
        <v>34</v>
      </c>
      <c r="AN19" s="137" t="s">
        <v>22</v>
      </c>
      <c r="AR19" s="144" t="s">
        <v>2</v>
      </c>
      <c r="AS19" s="86" t="s">
        <v>34</v>
      </c>
      <c r="AT19" s="152" t="s">
        <v>146</v>
      </c>
      <c r="AU19" s="237" t="s">
        <v>2</v>
      </c>
      <c r="AV19" s="86" t="s">
        <v>34</v>
      </c>
      <c r="AW19" s="145" t="s">
        <v>22</v>
      </c>
      <c r="BA19" s="144" t="s">
        <v>4</v>
      </c>
      <c r="BB19" s="86" t="s">
        <v>34</v>
      </c>
      <c r="BC19" s="152" t="s">
        <v>146</v>
      </c>
      <c r="BD19" s="237" t="s">
        <v>4</v>
      </c>
      <c r="BE19" s="86" t="s">
        <v>34</v>
      </c>
      <c r="BF19" s="145" t="s">
        <v>22</v>
      </c>
      <c r="BJ19" s="144" t="s">
        <v>222</v>
      </c>
      <c r="BK19" s="86" t="s">
        <v>34</v>
      </c>
      <c r="BL19" s="152" t="s">
        <v>146</v>
      </c>
      <c r="BM19" s="237" t="s">
        <v>222</v>
      </c>
      <c r="BN19" s="86" t="s">
        <v>34</v>
      </c>
      <c r="BO19" s="145" t="s">
        <v>22</v>
      </c>
      <c r="BS19" t="s">
        <v>445</v>
      </c>
      <c r="BT19" s="1">
        <f>B26</f>
        <v>0</v>
      </c>
      <c r="BU19" t="s">
        <v>107</v>
      </c>
      <c r="BV19" t="s">
        <v>404</v>
      </c>
      <c r="BW19">
        <v>45</v>
      </c>
      <c r="BX19" t="s">
        <v>52</v>
      </c>
      <c r="BY19" t="s">
        <v>127</v>
      </c>
      <c r="BZ19">
        <f>B49</f>
        <v>100</v>
      </c>
      <c r="CA19" t="s">
        <v>90</v>
      </c>
      <c r="CB19" s="405"/>
      <c r="CC19" s="81"/>
      <c r="CD19" s="82"/>
      <c r="CE19" s="232"/>
      <c r="CF19" s="81"/>
      <c r="CG19" s="82"/>
      <c r="CK19" s="399"/>
      <c r="CL19" s="400"/>
      <c r="CM19" s="401"/>
      <c r="CN19" s="393"/>
      <c r="CO19" s="81"/>
      <c r="CP19" s="82"/>
      <c r="CQ19" s="232"/>
      <c r="CR19" s="81"/>
      <c r="CS19" s="82"/>
      <c r="CT19" t="s">
        <v>479</v>
      </c>
      <c r="CU19" s="1" t="e">
        <f>FC3</f>
        <v>#DIV/0!</v>
      </c>
      <c r="CV19" t="s">
        <v>22</v>
      </c>
      <c r="CW19" t="s">
        <v>464</v>
      </c>
      <c r="CX19" s="1">
        <f>B2</f>
        <v>0.124</v>
      </c>
      <c r="CZ19" t="s">
        <v>480</v>
      </c>
      <c r="DA19" s="1" t="e">
        <f>GS3</f>
        <v>#DIV/0!</v>
      </c>
      <c r="DD19" s="1">
        <v>9.9999999999999995E-7</v>
      </c>
      <c r="DF19" t="s">
        <v>137</v>
      </c>
      <c r="DG19">
        <v>2.6999999999999999E-5</v>
      </c>
      <c r="DH19" t="s">
        <v>130</v>
      </c>
      <c r="DO19" t="s">
        <v>137</v>
      </c>
      <c r="DP19">
        <v>2.6999999999999999E-5</v>
      </c>
      <c r="DQ19" t="s">
        <v>130</v>
      </c>
      <c r="DR19" t="s">
        <v>433</v>
      </c>
      <c r="DS19" s="1">
        <f>B61</f>
        <v>0.15</v>
      </c>
      <c r="ED19" t="s">
        <v>137</v>
      </c>
      <c r="EE19">
        <v>2.6999999999999999E-5</v>
      </c>
      <c r="EF19" t="s">
        <v>130</v>
      </c>
      <c r="EG19" t="s">
        <v>433</v>
      </c>
      <c r="EH19" s="1">
        <f>B61</f>
        <v>0.15</v>
      </c>
      <c r="ES19" t="s">
        <v>137</v>
      </c>
      <c r="ET19">
        <v>2.6999999999999999E-5</v>
      </c>
      <c r="EU19" t="s">
        <v>130</v>
      </c>
      <c r="EV19" t="s">
        <v>433</v>
      </c>
      <c r="EW19" s="1">
        <f>B61</f>
        <v>0.15</v>
      </c>
      <c r="FH19" t="s">
        <v>137</v>
      </c>
      <c r="FI19">
        <v>2.6999999999999999E-5</v>
      </c>
      <c r="FJ19" t="s">
        <v>130</v>
      </c>
      <c r="FK19" t="s">
        <v>433</v>
      </c>
      <c r="FL19" s="1">
        <f>B61</f>
        <v>0.15</v>
      </c>
      <c r="FW19" t="s">
        <v>137</v>
      </c>
      <c r="FX19">
        <v>2.6999999999999999E-5</v>
      </c>
      <c r="FY19" t="s">
        <v>130</v>
      </c>
      <c r="FZ19" t="s">
        <v>433</v>
      </c>
      <c r="GA19" s="1">
        <f>B61</f>
        <v>0.15</v>
      </c>
      <c r="GL19" t="s">
        <v>137</v>
      </c>
      <c r="GM19">
        <v>2.6999999999999999E-5</v>
      </c>
      <c r="GN19" t="s">
        <v>130</v>
      </c>
      <c r="GO19" t="s">
        <v>432</v>
      </c>
      <c r="GP19" s="1">
        <f>B62</f>
        <v>0.85</v>
      </c>
      <c r="HA19" t="s">
        <v>137</v>
      </c>
      <c r="HB19">
        <v>2.6999999999999999E-5</v>
      </c>
      <c r="HC19" t="s">
        <v>130</v>
      </c>
    </row>
    <row r="20" spans="1:214" ht="14.25" thickTop="1" thickBot="1" x14ac:dyDescent="0.25">
      <c r="A20" t="s">
        <v>490</v>
      </c>
      <c r="B20" s="410">
        <v>1.0399999999999999E-3</v>
      </c>
      <c r="C20" t="s">
        <v>448</v>
      </c>
      <c r="D20" t="s">
        <v>452</v>
      </c>
      <c r="E20" s="1">
        <f>(E5)/((E14/E15)*E10*E11)</f>
        <v>1.2422360248447204E-2</v>
      </c>
      <c r="F20" t="s">
        <v>36</v>
      </c>
      <c r="G20" t="s">
        <v>224</v>
      </c>
      <c r="H20">
        <f>B46</f>
        <v>20</v>
      </c>
      <c r="J20" t="s">
        <v>77</v>
      </c>
      <c r="K20" s="428">
        <f>K35*K31*K23*K53+K34*K32*K24*K54</f>
        <v>6192.3076923076924</v>
      </c>
      <c r="L20" t="s">
        <v>134</v>
      </c>
      <c r="M20" s="120" t="s">
        <v>475</v>
      </c>
      <c r="N20" s="123" t="e">
        <f>(N22*N23*N24)/((1-EXP(-N24*N23))*N27*N32*(N26/365)*N30*((N31*N29)+(N33*N28)))</f>
        <v>#DIV/0!</v>
      </c>
      <c r="O20" s="131"/>
      <c r="P20" s="253" t="s">
        <v>475</v>
      </c>
      <c r="Q20" s="123" t="e">
        <f>(Q22*Q23*Q24)/((1-EXP(-Q24*Q23))*Q27*Q32*(Q26/365)*Q30*((Q31*Q29)+(Q33*Q28)))</f>
        <v>#DIV/0!</v>
      </c>
      <c r="R20" s="122"/>
      <c r="AB20" t="s">
        <v>412</v>
      </c>
      <c r="AC20">
        <f>B47</f>
        <v>60</v>
      </c>
      <c r="AD20">
        <f>B47</f>
        <v>60</v>
      </c>
      <c r="AE20">
        <f>B47</f>
        <v>60</v>
      </c>
      <c r="AF20">
        <f>B47</f>
        <v>60</v>
      </c>
      <c r="AG20">
        <f>B47</f>
        <v>60</v>
      </c>
      <c r="AH20" t="s">
        <v>78</v>
      </c>
      <c r="AI20" s="136" t="s">
        <v>475</v>
      </c>
      <c r="AJ20" s="85" t="e">
        <f>(AJ22*AJ23*AJ24)/((1-EXP(-AJ24*AJ23))*AJ27*AJ32*(AJ26/365)*AJ30*((AJ31*AJ29)+(AJ33*AJ28)))</f>
        <v>#DIV/0!</v>
      </c>
      <c r="AK20" s="151"/>
      <c r="AL20" s="234" t="s">
        <v>475</v>
      </c>
      <c r="AM20" s="85" t="e">
        <f>(AM22*AM23*AM24)/((1-EXP(-AM24*AM23))*AM27*AM32*(AM26/365)*AM30*((AM31*AM29)+(AM33*AM28)))</f>
        <v>#DIV/0!</v>
      </c>
      <c r="AN20" s="137"/>
      <c r="AR20" s="144" t="s">
        <v>475</v>
      </c>
      <c r="AS20" s="87" t="e">
        <f>(AS22*AS23*AS24)/((1-EXP(-AS24*AS23))*AS27*AS32*(AS26/365)*AS30*((AS31*AS29)+(AS33*AS28)))</f>
        <v>#DIV/0!</v>
      </c>
      <c r="AT20" s="152"/>
      <c r="AU20" s="237" t="s">
        <v>475</v>
      </c>
      <c r="AV20" s="87" t="e">
        <f>(AV22*AV23*AV24)/((1-EXP(-AV24*AV23))*AV27*AV32*(AV26/365)*AV30*((AV31*AV29)+(AV33*AV28)))</f>
        <v>#DIV/0!</v>
      </c>
      <c r="AW20" s="145"/>
      <c r="BA20" s="144" t="s">
        <v>475</v>
      </c>
      <c r="BB20" s="87" t="e">
        <f>(BB22*BB23*BB24)/((1-EXP(-BB24*BB23))*BB27*BB32*(BB26/365)*BB30*((BB31*BB29)+(BB33*BB28)))</f>
        <v>#DIV/0!</v>
      </c>
      <c r="BC20" s="152"/>
      <c r="BD20" s="237" t="s">
        <v>475</v>
      </c>
      <c r="BE20" s="87" t="e">
        <f>(BE22*BE23*BE24)/((1-EXP(-BE24*BE23))*BE27*BE32*(BE26/365)*BE30*((BE31*BE29)+(BE33*BE28)))</f>
        <v>#DIV/0!</v>
      </c>
      <c r="BF20" s="145"/>
      <c r="BJ20" s="144" t="s">
        <v>475</v>
      </c>
      <c r="BK20" s="87" t="e">
        <f>(BK22*BK23*BK24)/((1-EXP(-BK24*BK23))*BK29*BK34*(BK26/365)*BK32*BK33*BK31)</f>
        <v>#DIV/0!</v>
      </c>
      <c r="BL20" s="152"/>
      <c r="BM20" s="237" t="s">
        <v>475</v>
      </c>
      <c r="BN20" s="87" t="e">
        <f>(BN22*BN23*BN24)/((1-EXP(-BN24*BN23))*BN29*BN34*(BN26/365)*BN32*BN33*BN31)</f>
        <v>#DIV/0!</v>
      </c>
      <c r="BO20" s="145"/>
      <c r="BS20" t="s">
        <v>464</v>
      </c>
      <c r="BT20" s="1">
        <f>B2</f>
        <v>0.124</v>
      </c>
      <c r="BV20" t="s">
        <v>100</v>
      </c>
      <c r="BW20">
        <v>1</v>
      </c>
      <c r="BX20" t="s">
        <v>119</v>
      </c>
      <c r="BY20" t="s">
        <v>223</v>
      </c>
      <c r="BZ20">
        <f>B45</f>
        <v>10</v>
      </c>
      <c r="CA20" t="s">
        <v>78</v>
      </c>
      <c r="CB20" t="s">
        <v>458</v>
      </c>
      <c r="CC20" s="1">
        <v>1</v>
      </c>
      <c r="CD20" t="s">
        <v>459</v>
      </c>
      <c r="CE20" t="s">
        <v>458</v>
      </c>
      <c r="CF20" s="1">
        <v>1</v>
      </c>
      <c r="CG20" t="s">
        <v>459</v>
      </c>
      <c r="CK20" t="s">
        <v>485</v>
      </c>
      <c r="CL20" s="1">
        <v>1</v>
      </c>
      <c r="CM20" s="2"/>
      <c r="CN20" t="s">
        <v>396</v>
      </c>
      <c r="CO20" s="1">
        <f>B39</f>
        <v>0</v>
      </c>
      <c r="CQ20" t="s">
        <v>396</v>
      </c>
      <c r="CR20">
        <f>CO20</f>
        <v>0</v>
      </c>
      <c r="CT20" t="s">
        <v>480</v>
      </c>
      <c r="CU20" s="1" t="e">
        <f>GV3</f>
        <v>#DIV/0!</v>
      </c>
      <c r="CV20" t="s">
        <v>22</v>
      </c>
      <c r="CW20" t="s">
        <v>452</v>
      </c>
      <c r="CX20" s="1">
        <f>(CX5)/((CX14/CX15)*CX10*CX11)</f>
        <v>1.188001188001188E-2</v>
      </c>
      <c r="CY20" t="s">
        <v>36</v>
      </c>
      <c r="CZ20" t="s">
        <v>481</v>
      </c>
      <c r="DA20" s="1">
        <f>EK3</f>
        <v>0.43619042042183798</v>
      </c>
      <c r="DD20" s="1">
        <v>1000</v>
      </c>
      <c r="DE20" t="s">
        <v>179</v>
      </c>
      <c r="DF20" t="s">
        <v>138</v>
      </c>
      <c r="DG20" s="1">
        <f>0.693/DG23</f>
        <v>1.1866438356164383E-6</v>
      </c>
      <c r="DH20" t="s">
        <v>130</v>
      </c>
      <c r="DO20" t="s">
        <v>138</v>
      </c>
      <c r="DP20">
        <v>0</v>
      </c>
      <c r="DQ20" t="s">
        <v>130</v>
      </c>
      <c r="DR20" t="s">
        <v>432</v>
      </c>
      <c r="DS20" s="1">
        <f>B62</f>
        <v>0.85</v>
      </c>
      <c r="ED20" t="s">
        <v>138</v>
      </c>
      <c r="EE20">
        <v>0</v>
      </c>
      <c r="EF20" t="s">
        <v>130</v>
      </c>
      <c r="EG20" t="s">
        <v>432</v>
      </c>
      <c r="EH20" s="1">
        <f>B62</f>
        <v>0.85</v>
      </c>
      <c r="ES20" t="s">
        <v>138</v>
      </c>
      <c r="ET20">
        <v>0</v>
      </c>
      <c r="EU20" t="s">
        <v>130</v>
      </c>
      <c r="EV20" t="s">
        <v>432</v>
      </c>
      <c r="EW20" s="1">
        <f>B62</f>
        <v>0.85</v>
      </c>
      <c r="FH20" t="s">
        <v>138</v>
      </c>
      <c r="FI20">
        <v>0</v>
      </c>
      <c r="FJ20" t="s">
        <v>130</v>
      </c>
      <c r="FK20" t="s">
        <v>432</v>
      </c>
      <c r="FL20" s="1">
        <f>B62</f>
        <v>0.85</v>
      </c>
      <c r="FW20" t="s">
        <v>138</v>
      </c>
      <c r="FX20">
        <v>0</v>
      </c>
      <c r="FY20" t="s">
        <v>130</v>
      </c>
      <c r="FZ20" t="s">
        <v>432</v>
      </c>
      <c r="GA20" s="1">
        <f>B62</f>
        <v>0.85</v>
      </c>
      <c r="GL20" t="s">
        <v>138</v>
      </c>
      <c r="GM20">
        <v>0</v>
      </c>
      <c r="GN20" t="s">
        <v>130</v>
      </c>
      <c r="HA20" t="s">
        <v>138</v>
      </c>
      <c r="HB20">
        <v>0</v>
      </c>
      <c r="HC20" t="s">
        <v>130</v>
      </c>
    </row>
    <row r="21" spans="1:214" ht="14.25" thickTop="1" thickBot="1" x14ac:dyDescent="0.25">
      <c r="A21" t="s">
        <v>460</v>
      </c>
      <c r="B21" s="410">
        <v>10.6</v>
      </c>
      <c r="C21" t="s">
        <v>449</v>
      </c>
      <c r="D21" t="s">
        <v>477</v>
      </c>
      <c r="E21" s="1" t="e">
        <f>(E5)/((E14/E15)*E8*E9*E18*(1/365)*E19)</f>
        <v>#DIV/0!</v>
      </c>
      <c r="F21" t="s">
        <v>36</v>
      </c>
      <c r="G21" t="s">
        <v>240</v>
      </c>
      <c r="H21" s="426">
        <f>(H29*H32*H38*H34*H70)+(H30*H33*H39*H35*H71)</f>
        <v>234.76923076923077</v>
      </c>
      <c r="I21" t="s">
        <v>408</v>
      </c>
      <c r="J21" t="s">
        <v>108</v>
      </c>
      <c r="K21">
        <f>B48</f>
        <v>200</v>
      </c>
      <c r="L21" t="s">
        <v>90</v>
      </c>
      <c r="M21" s="124"/>
      <c r="N21" s="125"/>
      <c r="O21" s="169"/>
      <c r="P21" s="254"/>
      <c r="Q21" s="125"/>
      <c r="R21" s="126"/>
      <c r="AB21" t="s">
        <v>462</v>
      </c>
      <c r="AC21">
        <v>0.4</v>
      </c>
      <c r="AD21">
        <v>0.4</v>
      </c>
      <c r="AE21">
        <v>0.4</v>
      </c>
      <c r="AF21">
        <v>0.4</v>
      </c>
      <c r="AG21">
        <v>0.4</v>
      </c>
      <c r="AI21" s="138" t="s">
        <v>32</v>
      </c>
      <c r="AJ21" s="139"/>
      <c r="AK21" s="153"/>
      <c r="AL21" s="235" t="s">
        <v>32</v>
      </c>
      <c r="AM21" s="139"/>
      <c r="AN21" s="140"/>
      <c r="AR21" s="146" t="s">
        <v>32</v>
      </c>
      <c r="AS21" s="147"/>
      <c r="AT21" s="154"/>
      <c r="AU21" s="238" t="s">
        <v>32</v>
      </c>
      <c r="AV21" s="147"/>
      <c r="AW21" s="148"/>
      <c r="BA21" s="146" t="s">
        <v>32</v>
      </c>
      <c r="BB21" s="147"/>
      <c r="BC21" s="154"/>
      <c r="BD21" s="238" t="s">
        <v>32</v>
      </c>
      <c r="BE21" s="147"/>
      <c r="BF21" s="148"/>
      <c r="BJ21" s="146" t="s">
        <v>32</v>
      </c>
      <c r="BK21" s="147"/>
      <c r="BL21" s="154"/>
      <c r="BM21" s="238" t="s">
        <v>32</v>
      </c>
      <c r="BN21" s="147"/>
      <c r="BO21" s="148"/>
      <c r="BS21" t="s">
        <v>452</v>
      </c>
      <c r="BT21" s="1">
        <f>(BT5)/(BT10*BT11)</f>
        <v>0.82051282051282048</v>
      </c>
      <c r="BU21" t="s">
        <v>36</v>
      </c>
      <c r="BV21" t="s">
        <v>402</v>
      </c>
      <c r="BW21">
        <v>1</v>
      </c>
      <c r="BY21" t="s">
        <v>224</v>
      </c>
      <c r="BZ21">
        <f>B46</f>
        <v>20</v>
      </c>
      <c r="CA21" t="s">
        <v>78</v>
      </c>
      <c r="CB21" t="s">
        <v>58</v>
      </c>
      <c r="CC21">
        <v>26</v>
      </c>
      <c r="CD21" t="s">
        <v>59</v>
      </c>
      <c r="CE21" t="s">
        <v>58</v>
      </c>
      <c r="CF21">
        <v>26</v>
      </c>
      <c r="CG21" t="s">
        <v>59</v>
      </c>
      <c r="CK21" t="s">
        <v>447</v>
      </c>
      <c r="CL21" s="1">
        <f>E35</f>
        <v>1.0399999999999999E-3</v>
      </c>
      <c r="CM21" t="s">
        <v>22</v>
      </c>
      <c r="CN21" t="s">
        <v>47</v>
      </c>
      <c r="CO21">
        <f>CO23</f>
        <v>5.0000000000000001E-3</v>
      </c>
      <c r="CQ21" t="s">
        <v>316</v>
      </c>
      <c r="CR21" s="17">
        <v>1</v>
      </c>
      <c r="CS21" t="s">
        <v>56</v>
      </c>
      <c r="CT21" t="s">
        <v>481</v>
      </c>
      <c r="CU21" s="1">
        <f>EN3</f>
        <v>6.9371619752010236</v>
      </c>
      <c r="CV21" t="s">
        <v>22</v>
      </c>
      <c r="CW21" t="s">
        <v>477</v>
      </c>
      <c r="CX21" s="1" t="e">
        <f>(CX5)/((CX14/CX15)*CX8*CX9*CX18*(1/365)*CX19)</f>
        <v>#DIV/0!</v>
      </c>
      <c r="CY21" t="s">
        <v>36</v>
      </c>
      <c r="CZ21" t="s">
        <v>482</v>
      </c>
      <c r="DA21" s="1">
        <f>DV3</f>
        <v>5.3214724948625454E-2</v>
      </c>
      <c r="DC21" t="s">
        <v>139</v>
      </c>
      <c r="DD21">
        <v>1</v>
      </c>
      <c r="DF21" t="s">
        <v>140</v>
      </c>
      <c r="DG21">
        <v>1</v>
      </c>
      <c r="DH21" t="s">
        <v>75</v>
      </c>
      <c r="DO21" t="s">
        <v>140</v>
      </c>
      <c r="DP21">
        <v>1</v>
      </c>
      <c r="DQ21" t="s">
        <v>75</v>
      </c>
      <c r="ED21" t="s">
        <v>140</v>
      </c>
      <c r="EE21">
        <v>1</v>
      </c>
      <c r="EF21" t="s">
        <v>75</v>
      </c>
      <c r="ES21" t="s">
        <v>140</v>
      </c>
      <c r="ET21">
        <v>1</v>
      </c>
      <c r="EU21" t="s">
        <v>75</v>
      </c>
      <c r="FH21" t="s">
        <v>140</v>
      </c>
      <c r="FI21">
        <v>1</v>
      </c>
      <c r="FJ21" t="s">
        <v>75</v>
      </c>
      <c r="FW21" t="s">
        <v>140</v>
      </c>
      <c r="FX21">
        <v>1</v>
      </c>
      <c r="FY21" t="s">
        <v>75</v>
      </c>
      <c r="GL21" t="s">
        <v>140</v>
      </c>
      <c r="GM21">
        <v>1</v>
      </c>
      <c r="GN21" t="s">
        <v>75</v>
      </c>
      <c r="HA21" t="s">
        <v>140</v>
      </c>
      <c r="HB21">
        <v>1</v>
      </c>
      <c r="HC21" t="s">
        <v>75</v>
      </c>
      <c r="HD21" s="157" t="s">
        <v>456</v>
      </c>
      <c r="HE21" s="158" t="s">
        <v>422</v>
      </c>
      <c r="HF21" s="159" t="s">
        <v>143</v>
      </c>
    </row>
    <row r="22" spans="1:214" ht="13.5" thickTop="1" x14ac:dyDescent="0.2">
      <c r="A22" t="s">
        <v>441</v>
      </c>
      <c r="B22" s="410">
        <v>0</v>
      </c>
      <c r="C22" t="s">
        <v>450</v>
      </c>
      <c r="D22" t="s">
        <v>452</v>
      </c>
      <c r="E22" s="1">
        <f>(E5*E9*E6)/((E14/E15)*(1-EXP(-E6*E9))*E10*E11)</f>
        <v>1.2422751556906487E-2</v>
      </c>
      <c r="F22" t="s">
        <v>37</v>
      </c>
      <c r="G22" t="s">
        <v>373</v>
      </c>
      <c r="H22" s="427">
        <f>(H29*H32*H23*H70)+(H30*H33*H24*H71)</f>
        <v>16326.153846153848</v>
      </c>
      <c r="I22" t="s">
        <v>213</v>
      </c>
      <c r="J22" t="s">
        <v>127</v>
      </c>
      <c r="K22">
        <f>B49</f>
        <v>100</v>
      </c>
      <c r="L22" t="s">
        <v>90</v>
      </c>
      <c r="M22" t="s">
        <v>485</v>
      </c>
      <c r="N22" s="1">
        <v>1</v>
      </c>
      <c r="P22" t="s">
        <v>485</v>
      </c>
      <c r="Q22" s="1">
        <v>1</v>
      </c>
      <c r="V22" s="88" t="s">
        <v>1</v>
      </c>
      <c r="W22" s="89" t="s">
        <v>5</v>
      </c>
      <c r="X22" s="89" t="s">
        <v>0</v>
      </c>
      <c r="Y22" s="248" t="s">
        <v>1</v>
      </c>
      <c r="Z22" s="89" t="s">
        <v>222</v>
      </c>
      <c r="AA22" s="90" t="s">
        <v>0</v>
      </c>
      <c r="AB22" t="s">
        <v>105</v>
      </c>
      <c r="AC22" s="1">
        <f>B3</f>
        <v>0.79200000000000004</v>
      </c>
      <c r="AD22" s="1">
        <f>B3</f>
        <v>0.79200000000000004</v>
      </c>
      <c r="AE22" s="1">
        <f>B3</f>
        <v>0.79200000000000004</v>
      </c>
      <c r="AF22" s="1">
        <f>B3</f>
        <v>0.79200000000000004</v>
      </c>
      <c r="AG22" s="1">
        <f>B3</f>
        <v>0.79200000000000004</v>
      </c>
      <c r="AI22" t="s">
        <v>458</v>
      </c>
      <c r="AJ22" s="1">
        <v>1</v>
      </c>
      <c r="AK22" t="s">
        <v>459</v>
      </c>
      <c r="AL22" t="s">
        <v>458</v>
      </c>
      <c r="AM22" s="1">
        <v>1</v>
      </c>
      <c r="AN22" t="s">
        <v>459</v>
      </c>
      <c r="AR22" t="s">
        <v>458</v>
      </c>
      <c r="AS22" s="1">
        <v>1</v>
      </c>
      <c r="AT22" t="s">
        <v>459</v>
      </c>
      <c r="AU22" t="s">
        <v>458</v>
      </c>
      <c r="AV22" s="1">
        <v>1</v>
      </c>
      <c r="AW22" t="s">
        <v>459</v>
      </c>
      <c r="BA22" t="s">
        <v>458</v>
      </c>
      <c r="BB22" s="1">
        <v>1</v>
      </c>
      <c r="BC22" t="s">
        <v>459</v>
      </c>
      <c r="BD22" t="s">
        <v>458</v>
      </c>
      <c r="BE22" s="1">
        <v>1</v>
      </c>
      <c r="BF22" t="s">
        <v>459</v>
      </c>
      <c r="BJ22" t="s">
        <v>458</v>
      </c>
      <c r="BK22" s="1">
        <v>1</v>
      </c>
      <c r="BL22" t="s">
        <v>459</v>
      </c>
      <c r="BM22" t="s">
        <v>458</v>
      </c>
      <c r="BN22" s="1">
        <v>1</v>
      </c>
      <c r="BO22" t="s">
        <v>459</v>
      </c>
      <c r="BS22" t="s">
        <v>477</v>
      </c>
      <c r="BT22" s="1" t="e">
        <f>(BT5)/((BT14/24)*BT8*BT9*BT19*(1/365)*BT20)</f>
        <v>#DIV/0!</v>
      </c>
      <c r="BU22" t="s">
        <v>36</v>
      </c>
      <c r="BV22" t="s">
        <v>401</v>
      </c>
      <c r="BW22">
        <v>1</v>
      </c>
      <c r="BY22" t="s">
        <v>221</v>
      </c>
      <c r="BZ22">
        <v>75</v>
      </c>
      <c r="CA22" t="s">
        <v>52</v>
      </c>
      <c r="CB22" t="s">
        <v>49</v>
      </c>
      <c r="CC22" s="1">
        <f>0.693/CC23</f>
        <v>4.3312499999999997E-4</v>
      </c>
      <c r="CE22" t="s">
        <v>49</v>
      </c>
      <c r="CF22" s="1">
        <f>0.693/CF23</f>
        <v>4.3312499999999997E-4</v>
      </c>
      <c r="CK22" t="s">
        <v>221</v>
      </c>
      <c r="CL22">
        <v>75</v>
      </c>
      <c r="CM22" t="s">
        <v>245</v>
      </c>
      <c r="CN22" t="s">
        <v>54</v>
      </c>
      <c r="CO22">
        <f>CO24</f>
        <v>0.25</v>
      </c>
      <c r="CR22">
        <v>1000</v>
      </c>
      <c r="CS22" t="s">
        <v>213</v>
      </c>
      <c r="CT22" t="s">
        <v>482</v>
      </c>
      <c r="CU22" s="1">
        <f>DY3</f>
        <v>1.0562577551830725</v>
      </c>
      <c r="CV22" t="s">
        <v>22</v>
      </c>
      <c r="CW22" t="s">
        <v>452</v>
      </c>
      <c r="CX22" s="1">
        <f>(CX5*CX9*CX6)/((CX14/CX15)*(1-EXP(-CX6*CX9))*CX10*CX11)</f>
        <v>1.1882584830806163E-2</v>
      </c>
      <c r="CY22" t="s">
        <v>37</v>
      </c>
      <c r="CZ22" t="s">
        <v>483</v>
      </c>
      <c r="DA22" s="1" t="e">
        <f>GD3</f>
        <v>#DIV/0!</v>
      </c>
      <c r="DC22" t="s">
        <v>433</v>
      </c>
      <c r="DD22" s="1">
        <f>B61</f>
        <v>0.15</v>
      </c>
      <c r="DF22" t="s">
        <v>144</v>
      </c>
      <c r="DG22">
        <v>14</v>
      </c>
      <c r="DH22" t="s">
        <v>145</v>
      </c>
      <c r="DO22" t="s">
        <v>144</v>
      </c>
      <c r="DP22">
        <v>14</v>
      </c>
      <c r="DQ22" t="s">
        <v>145</v>
      </c>
      <c r="ED22" t="s">
        <v>144</v>
      </c>
      <c r="EE22">
        <v>14</v>
      </c>
      <c r="EF22" t="s">
        <v>145</v>
      </c>
      <c r="ES22" t="s">
        <v>144</v>
      </c>
      <c r="ET22">
        <v>14</v>
      </c>
      <c r="EU22" t="s">
        <v>145</v>
      </c>
      <c r="FH22" t="s">
        <v>144</v>
      </c>
      <c r="FI22">
        <v>14</v>
      </c>
      <c r="FJ22" t="s">
        <v>145</v>
      </c>
      <c r="FW22" t="s">
        <v>144</v>
      </c>
      <c r="FX22">
        <v>14</v>
      </c>
      <c r="FY22" t="s">
        <v>145</v>
      </c>
      <c r="GL22" t="s">
        <v>144</v>
      </c>
      <c r="GM22">
        <v>14</v>
      </c>
      <c r="GN22" t="s">
        <v>145</v>
      </c>
      <c r="HA22" t="s">
        <v>144</v>
      </c>
      <c r="HB22">
        <v>14</v>
      </c>
      <c r="HC22" t="s">
        <v>145</v>
      </c>
      <c r="HD22" s="160" t="s">
        <v>22</v>
      </c>
      <c r="HE22" s="161" t="s">
        <v>33</v>
      </c>
      <c r="HF22" s="162" t="s">
        <v>35</v>
      </c>
    </row>
    <row r="23" spans="1:214" x14ac:dyDescent="0.2">
      <c r="A23" t="s">
        <v>442</v>
      </c>
      <c r="B23" s="410">
        <v>0</v>
      </c>
      <c r="C23" t="s">
        <v>449</v>
      </c>
      <c r="D23" t="s">
        <v>477</v>
      </c>
      <c r="E23" s="1" t="e">
        <f>(E5*E9*E6)/((E14/E15)*E8*E9*(1-EXP(-E6*E9))*E18*(1/365)*E19)</f>
        <v>#DIV/0!</v>
      </c>
      <c r="F23" t="s">
        <v>37</v>
      </c>
      <c r="G23" t="s">
        <v>374</v>
      </c>
      <c r="H23" s="1">
        <f>B52</f>
        <v>14.8</v>
      </c>
      <c r="I23" t="s">
        <v>380</v>
      </c>
      <c r="J23" t="s">
        <v>223</v>
      </c>
      <c r="K23">
        <f>B45</f>
        <v>10</v>
      </c>
      <c r="L23" t="s">
        <v>78</v>
      </c>
      <c r="M23" t="s">
        <v>58</v>
      </c>
      <c r="N23">
        <v>26</v>
      </c>
      <c r="O23" t="s">
        <v>59</v>
      </c>
      <c r="P23" t="s">
        <v>58</v>
      </c>
      <c r="Q23">
        <v>26</v>
      </c>
      <c r="R23" t="s">
        <v>59</v>
      </c>
      <c r="V23" s="91" t="s">
        <v>18</v>
      </c>
      <c r="W23" s="92" t="s">
        <v>456</v>
      </c>
      <c r="X23" s="92" t="s">
        <v>19</v>
      </c>
      <c r="Y23" s="249" t="s">
        <v>18</v>
      </c>
      <c r="Z23" s="92" t="s">
        <v>456</v>
      </c>
      <c r="AA23" s="93" t="s">
        <v>19</v>
      </c>
      <c r="AB23" t="s">
        <v>460</v>
      </c>
      <c r="AC23" s="1">
        <f>B21</f>
        <v>10.6</v>
      </c>
      <c r="AD23" s="1">
        <f>B21</f>
        <v>10.6</v>
      </c>
      <c r="AE23" s="1">
        <f>B21</f>
        <v>10.6</v>
      </c>
      <c r="AF23" s="1">
        <f>B21</f>
        <v>10.6</v>
      </c>
      <c r="AG23" s="1">
        <f>B21</f>
        <v>10.6</v>
      </c>
      <c r="AH23" t="s">
        <v>147</v>
      </c>
      <c r="AI23" t="s">
        <v>58</v>
      </c>
      <c r="AJ23">
        <v>25</v>
      </c>
      <c r="AK23" t="s">
        <v>59</v>
      </c>
      <c r="AL23" t="s">
        <v>58</v>
      </c>
      <c r="AM23">
        <v>25</v>
      </c>
      <c r="AN23" t="s">
        <v>59</v>
      </c>
      <c r="AR23" t="s">
        <v>58</v>
      </c>
      <c r="AS23">
        <v>25</v>
      </c>
      <c r="AT23" t="s">
        <v>59</v>
      </c>
      <c r="AU23" t="s">
        <v>58</v>
      </c>
      <c r="AV23">
        <v>25</v>
      </c>
      <c r="AW23" t="s">
        <v>59</v>
      </c>
      <c r="BA23" t="s">
        <v>58</v>
      </c>
      <c r="BB23">
        <v>25</v>
      </c>
      <c r="BC23" t="s">
        <v>59</v>
      </c>
      <c r="BD23" t="s">
        <v>58</v>
      </c>
      <c r="BE23">
        <v>25</v>
      </c>
      <c r="BF23" t="s">
        <v>59</v>
      </c>
      <c r="BJ23" t="s">
        <v>58</v>
      </c>
      <c r="BK23">
        <v>1</v>
      </c>
      <c r="BL23" t="s">
        <v>59</v>
      </c>
      <c r="BM23" t="s">
        <v>58</v>
      </c>
      <c r="BN23">
        <v>1</v>
      </c>
      <c r="BO23" t="s">
        <v>59</v>
      </c>
      <c r="BS23" t="s">
        <v>452</v>
      </c>
      <c r="BT23" s="1">
        <f>(BT5*BT28*BT6)/((1-EXP(-BT6*BT9))*BT10*BT11)</f>
        <v>21.337953666839653</v>
      </c>
      <c r="BU23" t="s">
        <v>37</v>
      </c>
      <c r="BV23" t="s">
        <v>399</v>
      </c>
      <c r="BW23">
        <v>1</v>
      </c>
      <c r="BX23" t="s">
        <v>164</v>
      </c>
      <c r="BY23" t="s">
        <v>73</v>
      </c>
      <c r="BZ23">
        <v>75</v>
      </c>
      <c r="CA23" t="s">
        <v>52</v>
      </c>
      <c r="CB23" t="s">
        <v>411</v>
      </c>
      <c r="CC23" s="1">
        <f>B29</f>
        <v>1600</v>
      </c>
      <c r="CD23" t="s">
        <v>119</v>
      </c>
      <c r="CE23" t="s">
        <v>411</v>
      </c>
      <c r="CF23" s="1">
        <f>B29</f>
        <v>1600</v>
      </c>
      <c r="CG23" t="s">
        <v>119</v>
      </c>
      <c r="CK23" t="s">
        <v>99</v>
      </c>
      <c r="CL23">
        <v>1</v>
      </c>
      <c r="CM23" t="s">
        <v>253</v>
      </c>
      <c r="CN23" t="s">
        <v>64</v>
      </c>
      <c r="CO23">
        <v>5.0000000000000001E-3</v>
      </c>
      <c r="CT23" t="s">
        <v>483</v>
      </c>
      <c r="CU23" s="1" t="e">
        <f>GG3</f>
        <v>#DIV/0!</v>
      </c>
      <c r="CV23" t="s">
        <v>22</v>
      </c>
      <c r="CW23" t="s">
        <v>477</v>
      </c>
      <c r="CX23" s="1" t="e">
        <f>(CX5*CX9*CX6)/((CX14/CX15)*CX8*CX9*(1-EXP(-CX6*CX9))*CX18*(1/365)*CX19)</f>
        <v>#DIV/0!</v>
      </c>
      <c r="CY23" t="s">
        <v>37</v>
      </c>
      <c r="CZ23" t="s">
        <v>484</v>
      </c>
      <c r="DA23" s="1">
        <f>FO3</f>
        <v>0.50275620593996129</v>
      </c>
      <c r="DC23" t="s">
        <v>432</v>
      </c>
      <c r="DD23" s="1">
        <f>B62</f>
        <v>0.85</v>
      </c>
      <c r="DF23" t="s">
        <v>485</v>
      </c>
      <c r="DG23" s="1">
        <f>B33</f>
        <v>584000</v>
      </c>
      <c r="DH23" t="s">
        <v>381</v>
      </c>
      <c r="DO23" t="s">
        <v>46</v>
      </c>
      <c r="DP23">
        <f>DP25</f>
        <v>1E-3</v>
      </c>
      <c r="ED23" t="s">
        <v>46</v>
      </c>
      <c r="EE23">
        <f>EE25</f>
        <v>0</v>
      </c>
      <c r="ES23" t="s">
        <v>46</v>
      </c>
      <c r="ET23">
        <f>ET25</f>
        <v>0</v>
      </c>
      <c r="FH23" t="s">
        <v>46</v>
      </c>
      <c r="FI23">
        <v>0.2</v>
      </c>
      <c r="FW23" t="s">
        <v>46</v>
      </c>
      <c r="FX23">
        <f>FX25</f>
        <v>0.2</v>
      </c>
      <c r="GL23" t="s">
        <v>46</v>
      </c>
      <c r="GM23">
        <f>GM25</f>
        <v>5.0000000000000001E-3</v>
      </c>
      <c r="HA23" t="s">
        <v>46</v>
      </c>
      <c r="HB23">
        <f>HB25</f>
        <v>5.0000000000000001E-3</v>
      </c>
      <c r="HD23" s="302">
        <f>(HE25*HE33*HE38*HE32*10^-3*HE31*HE27)/(HE30*HE41*(1-EXP(-HE27*HE31)))</f>
        <v>0.42220145465862913</v>
      </c>
      <c r="HE23" s="303"/>
      <c r="HF23" s="162" t="s">
        <v>38</v>
      </c>
    </row>
    <row r="24" spans="1:214" ht="13.5" thickBot="1" x14ac:dyDescent="0.25">
      <c r="A24" t="s">
        <v>443</v>
      </c>
      <c r="B24" s="410">
        <v>0</v>
      </c>
      <c r="C24" t="s">
        <v>449</v>
      </c>
      <c r="D24" t="s">
        <v>225</v>
      </c>
      <c r="E24">
        <v>350</v>
      </c>
      <c r="F24" t="s">
        <v>52</v>
      </c>
      <c r="G24" t="s">
        <v>375</v>
      </c>
      <c r="H24" s="1">
        <f>B53</f>
        <v>56.2</v>
      </c>
      <c r="I24" t="s">
        <v>380</v>
      </c>
      <c r="J24" t="s">
        <v>224</v>
      </c>
      <c r="K24">
        <f>B46</f>
        <v>20</v>
      </c>
      <c r="L24" t="s">
        <v>78</v>
      </c>
      <c r="M24" t="s">
        <v>49</v>
      </c>
      <c r="N24" s="1">
        <f>0.693/N25</f>
        <v>4.3312499999999997E-4</v>
      </c>
      <c r="P24" t="s">
        <v>49</v>
      </c>
      <c r="Q24" s="1">
        <f>0.693/Q25</f>
        <v>4.3312499999999997E-4</v>
      </c>
      <c r="V24" s="91" t="s">
        <v>37</v>
      </c>
      <c r="W24" s="94" t="e">
        <f>1/((1/W39)+(1/W40))</f>
        <v>#DIV/0!</v>
      </c>
      <c r="X24" s="127"/>
      <c r="Y24" s="250" t="s">
        <v>37</v>
      </c>
      <c r="Z24" s="94" t="e">
        <f>1/((1/Z37)+(1/Z38))</f>
        <v>#DIV/0!</v>
      </c>
      <c r="AA24" s="95"/>
      <c r="AB24" t="s">
        <v>436</v>
      </c>
      <c r="AC24" s="1">
        <f>B17</f>
        <v>1.2999999999999999E-2</v>
      </c>
      <c r="AD24" s="1">
        <f>B17</f>
        <v>1.2999999999999999E-2</v>
      </c>
      <c r="AE24" s="1">
        <f>B17</f>
        <v>1.2999999999999999E-2</v>
      </c>
      <c r="AF24" s="1">
        <f>B17</f>
        <v>1.2999999999999999E-2</v>
      </c>
      <c r="AG24" s="1">
        <f>B17</f>
        <v>1.2999999999999999E-2</v>
      </c>
      <c r="AH24" t="s">
        <v>61</v>
      </c>
      <c r="AI24" t="s">
        <v>49</v>
      </c>
      <c r="AJ24" s="1">
        <f>0.693/AJ25</f>
        <v>4.3312499999999997E-4</v>
      </c>
      <c r="AL24" t="s">
        <v>49</v>
      </c>
      <c r="AM24" s="1">
        <f>0.693/AM25</f>
        <v>4.3312499999999997E-4</v>
      </c>
      <c r="AR24" t="s">
        <v>49</v>
      </c>
      <c r="AS24" s="1">
        <f>0.693/AS25</f>
        <v>4.3312499999999997E-4</v>
      </c>
      <c r="AU24" t="s">
        <v>49</v>
      </c>
      <c r="AV24" s="1">
        <f>0.693/AV25</f>
        <v>4.3312499999999997E-4</v>
      </c>
      <c r="BA24" t="s">
        <v>49</v>
      </c>
      <c r="BB24" s="1">
        <f>0.693/BB25</f>
        <v>4.3312499999999997E-4</v>
      </c>
      <c r="BD24" t="s">
        <v>49</v>
      </c>
      <c r="BE24" s="1">
        <f>0.693/BE25</f>
        <v>4.3312499999999997E-4</v>
      </c>
      <c r="BJ24" t="s">
        <v>49</v>
      </c>
      <c r="BK24" s="1">
        <f>0.693/BK25</f>
        <v>4.3312499999999997E-4</v>
      </c>
      <c r="BM24" t="s">
        <v>49</v>
      </c>
      <c r="BN24" s="1">
        <f>0.693/BN25</f>
        <v>4.3312499999999997E-4</v>
      </c>
      <c r="BS24" t="s">
        <v>477</v>
      </c>
      <c r="BT24" s="1" t="e">
        <f>(BT5*BT9*BT6)/((BT14/24)*BT8*BT9*(1-EXP(-BT6*BT9))*BT19*(1/365)*BT20)</f>
        <v>#DIV/0!</v>
      </c>
      <c r="BU24" t="s">
        <v>37</v>
      </c>
      <c r="BV24" t="s">
        <v>398</v>
      </c>
      <c r="BW24">
        <v>1</v>
      </c>
      <c r="BX24" t="s">
        <v>164</v>
      </c>
      <c r="BY24" t="s">
        <v>67</v>
      </c>
      <c r="BZ24">
        <v>75</v>
      </c>
      <c r="CA24" t="s">
        <v>52</v>
      </c>
      <c r="CB24" t="s">
        <v>51</v>
      </c>
      <c r="CC24">
        <v>75</v>
      </c>
      <c r="CD24" t="s">
        <v>60</v>
      </c>
      <c r="CE24" t="s">
        <v>51</v>
      </c>
      <c r="CF24">
        <v>75</v>
      </c>
      <c r="CG24" t="s">
        <v>60</v>
      </c>
      <c r="CK24" t="s">
        <v>304</v>
      </c>
      <c r="CL24" s="17">
        <v>1</v>
      </c>
      <c r="CM24" t="s">
        <v>380</v>
      </c>
      <c r="CN24" t="s">
        <v>311</v>
      </c>
      <c r="CO24" s="17">
        <v>0.25</v>
      </c>
      <c r="CT24" t="s">
        <v>484</v>
      </c>
      <c r="CU24" s="1">
        <f>FR3</f>
        <v>4.1226008887076835E-3</v>
      </c>
      <c r="CV24" t="s">
        <v>22</v>
      </c>
      <c r="CW24" t="s">
        <v>225</v>
      </c>
      <c r="CX24">
        <v>350</v>
      </c>
      <c r="CY24" t="s">
        <v>52</v>
      </c>
      <c r="CZ24" t="s">
        <v>81</v>
      </c>
      <c r="DA24" s="427">
        <f>(DA35*DA37*DA27*DA51)+(DA36*DA38*DA28*DA52)</f>
        <v>784.7</v>
      </c>
      <c r="DB24" t="s">
        <v>180</v>
      </c>
      <c r="DG24">
        <v>1000</v>
      </c>
      <c r="DO24" t="s">
        <v>54</v>
      </c>
      <c r="DP24">
        <f>DP26</f>
        <v>0.26</v>
      </c>
      <c r="ED24" t="s">
        <v>54</v>
      </c>
      <c r="EE24">
        <f>EE26</f>
        <v>0.25</v>
      </c>
      <c r="ES24" t="s">
        <v>54</v>
      </c>
      <c r="ET24">
        <f>ET26</f>
        <v>0.25</v>
      </c>
      <c r="FH24" t="s">
        <v>54</v>
      </c>
      <c r="FI24">
        <v>0.25</v>
      </c>
      <c r="FW24" t="s">
        <v>54</v>
      </c>
      <c r="FX24">
        <f>FX26</f>
        <v>0.25</v>
      </c>
      <c r="GL24" t="s">
        <v>54</v>
      </c>
      <c r="GM24">
        <f>GM26</f>
        <v>0.25</v>
      </c>
      <c r="HA24" t="s">
        <v>54</v>
      </c>
      <c r="HB24">
        <f>HB26</f>
        <v>0.25</v>
      </c>
      <c r="HD24" s="304" t="e">
        <f>(HE26*HE33*HE38*HE32*10^-3*HE31*HE27)/(HE30*HE41*(1-EXP(-HE27*HE31)))</f>
        <v>#DIV/0!</v>
      </c>
      <c r="HE24" s="305"/>
      <c r="HF24" s="306" t="s">
        <v>43</v>
      </c>
    </row>
    <row r="25" spans="1:214" ht="14.25" thickTop="1" thickBot="1" x14ac:dyDescent="0.25">
      <c r="A25" t="s">
        <v>444</v>
      </c>
      <c r="B25" s="410">
        <v>0</v>
      </c>
      <c r="C25" t="s">
        <v>449</v>
      </c>
      <c r="D25" t="s">
        <v>226</v>
      </c>
      <c r="E25">
        <v>350</v>
      </c>
      <c r="F25" t="s">
        <v>52</v>
      </c>
      <c r="G25" t="s">
        <v>372</v>
      </c>
      <c r="H25" s="427">
        <f>(H29*H32*H26*H70)+(H30*H33*H27*H71)</f>
        <v>8513.0769230769238</v>
      </c>
      <c r="I25" t="s">
        <v>213</v>
      </c>
      <c r="J25" t="s">
        <v>373</v>
      </c>
      <c r="K25" s="427">
        <f>(K31*K35*K26*K53)+(K32*K34*K27*K54)</f>
        <v>16326.153846153848</v>
      </c>
      <c r="L25" t="s">
        <v>213</v>
      </c>
      <c r="M25" t="s">
        <v>411</v>
      </c>
      <c r="N25" s="1">
        <f>B29</f>
        <v>1600</v>
      </c>
      <c r="O25" t="s">
        <v>119</v>
      </c>
      <c r="P25" t="s">
        <v>411</v>
      </c>
      <c r="Q25" s="1">
        <f>B29</f>
        <v>1600</v>
      </c>
      <c r="R25" t="s">
        <v>119</v>
      </c>
      <c r="V25" s="130" t="s">
        <v>36</v>
      </c>
      <c r="W25" s="96" t="e">
        <f>1/((1/W37)+(1/W38))</f>
        <v>#DIV/0!</v>
      </c>
      <c r="X25" s="128"/>
      <c r="Y25" s="251" t="s">
        <v>36</v>
      </c>
      <c r="Z25" s="129" t="e">
        <f>1/((1/Z39)+(1/Z40))</f>
        <v>#DIV/0!</v>
      </c>
      <c r="AA25" s="97"/>
      <c r="AC25" s="1"/>
      <c r="AD25" s="1"/>
      <c r="AE25" s="1"/>
      <c r="AI25" t="s">
        <v>411</v>
      </c>
      <c r="AJ25" s="1">
        <f>B29</f>
        <v>1600</v>
      </c>
      <c r="AK25" t="s">
        <v>119</v>
      </c>
      <c r="AL25" t="s">
        <v>411</v>
      </c>
      <c r="AM25" s="1">
        <f>B29</f>
        <v>1600</v>
      </c>
      <c r="AN25" t="s">
        <v>119</v>
      </c>
      <c r="AR25" t="s">
        <v>411</v>
      </c>
      <c r="AS25" s="1">
        <f>B29</f>
        <v>1600</v>
      </c>
      <c r="AT25" t="s">
        <v>119</v>
      </c>
      <c r="AU25" t="s">
        <v>411</v>
      </c>
      <c r="AV25" s="1">
        <f>B29</f>
        <v>1600</v>
      </c>
      <c r="AW25" t="s">
        <v>119</v>
      </c>
      <c r="BA25" t="s">
        <v>411</v>
      </c>
      <c r="BB25" s="1">
        <f>B29</f>
        <v>1600</v>
      </c>
      <c r="BC25" t="s">
        <v>119</v>
      </c>
      <c r="BD25" t="s">
        <v>411</v>
      </c>
      <c r="BE25" s="1">
        <f>B29</f>
        <v>1600</v>
      </c>
      <c r="BF25" t="s">
        <v>119</v>
      </c>
      <c r="BJ25" t="s">
        <v>411</v>
      </c>
      <c r="BK25" s="1">
        <f>B29</f>
        <v>1600</v>
      </c>
      <c r="BL25" t="s">
        <v>119</v>
      </c>
      <c r="BM25" t="s">
        <v>411</v>
      </c>
      <c r="BN25" s="1">
        <f>B29</f>
        <v>1600</v>
      </c>
      <c r="BO25" t="s">
        <v>119</v>
      </c>
      <c r="BS25" t="s">
        <v>225</v>
      </c>
      <c r="BT25">
        <v>75</v>
      </c>
      <c r="BU25" t="s">
        <v>52</v>
      </c>
      <c r="BV25" t="s">
        <v>400</v>
      </c>
      <c r="BW25">
        <v>1</v>
      </c>
      <c r="BX25" t="s">
        <v>80</v>
      </c>
      <c r="BY25" t="s">
        <v>99</v>
      </c>
      <c r="BZ25">
        <v>1</v>
      </c>
      <c r="CA25" t="s">
        <v>119</v>
      </c>
      <c r="CB25" t="s">
        <v>65</v>
      </c>
      <c r="CC25">
        <v>1</v>
      </c>
      <c r="CD25" t="s">
        <v>59</v>
      </c>
      <c r="CE25" t="s">
        <v>65</v>
      </c>
      <c r="CF25">
        <v>1</v>
      </c>
      <c r="CG25" t="s">
        <v>59</v>
      </c>
      <c r="CN25" t="s">
        <v>309</v>
      </c>
      <c r="CO25" s="17">
        <v>1</v>
      </c>
      <c r="CP25" t="s">
        <v>431</v>
      </c>
      <c r="CT25" t="s">
        <v>82</v>
      </c>
      <c r="CU25" s="428">
        <f>(CU27*CU31*CU35*CU49)+(CU28*CU32*CU34*CU50)</f>
        <v>40250</v>
      </c>
      <c r="CV25" t="s">
        <v>406</v>
      </c>
      <c r="CW25" t="s">
        <v>226</v>
      </c>
      <c r="CX25">
        <v>350</v>
      </c>
      <c r="CY25" t="s">
        <v>52</v>
      </c>
      <c r="CZ25" t="s">
        <v>77</v>
      </c>
      <c r="DA25" s="427">
        <f>(DA35*DA37*DA29*(DA40/24)*DA51)+(DA36*DA38*DA30*(DA41/24)*DA52)</f>
        <v>6475</v>
      </c>
      <c r="DB25" t="s">
        <v>407</v>
      </c>
      <c r="DO25" t="s">
        <v>63</v>
      </c>
      <c r="DP25">
        <f>B40</f>
        <v>1E-3</v>
      </c>
      <c r="ED25" t="s">
        <v>64</v>
      </c>
      <c r="EE25">
        <f>B41</f>
        <v>0</v>
      </c>
      <c r="ES25" t="s">
        <v>64</v>
      </c>
      <c r="ET25">
        <f>B41</f>
        <v>0</v>
      </c>
      <c r="FH25" t="s">
        <v>64</v>
      </c>
      <c r="FI25">
        <v>5.0000000000000001E-3</v>
      </c>
      <c r="FW25" t="s">
        <v>64</v>
      </c>
      <c r="FX25">
        <v>0.2</v>
      </c>
      <c r="GL25" t="s">
        <v>64</v>
      </c>
      <c r="GM25">
        <v>5.0000000000000001E-3</v>
      </c>
      <c r="HA25" t="s">
        <v>64</v>
      </c>
      <c r="HB25">
        <v>5.0000000000000001E-3</v>
      </c>
      <c r="HD25" s="2" t="s">
        <v>48</v>
      </c>
      <c r="HE25" s="1">
        <v>15</v>
      </c>
      <c r="HF25" t="s">
        <v>24</v>
      </c>
    </row>
    <row r="26" spans="1:214" ht="13.5" thickTop="1" x14ac:dyDescent="0.2">
      <c r="A26" t="s">
        <v>445</v>
      </c>
      <c r="B26" s="410">
        <v>0</v>
      </c>
      <c r="C26" t="s">
        <v>449</v>
      </c>
      <c r="D26" t="s">
        <v>435</v>
      </c>
      <c r="E26" s="1">
        <f>B59</f>
        <v>0.23076923076923078</v>
      </c>
      <c r="G26" t="s">
        <v>370</v>
      </c>
      <c r="H26" s="1">
        <f>B54</f>
        <v>10.4</v>
      </c>
      <c r="I26" t="s">
        <v>380</v>
      </c>
      <c r="J26" t="s">
        <v>374</v>
      </c>
      <c r="K26" s="1">
        <f>B52</f>
        <v>14.8</v>
      </c>
      <c r="L26" t="s">
        <v>380</v>
      </c>
      <c r="M26" t="s">
        <v>51</v>
      </c>
      <c r="N26">
        <v>350</v>
      </c>
      <c r="O26" t="s">
        <v>60</v>
      </c>
      <c r="P26" t="s">
        <v>51</v>
      </c>
      <c r="Q26">
        <v>350</v>
      </c>
      <c r="R26" t="s">
        <v>60</v>
      </c>
      <c r="V26" t="s">
        <v>458</v>
      </c>
      <c r="W26" s="1">
        <v>1</v>
      </c>
      <c r="X26" t="s">
        <v>459</v>
      </c>
      <c r="Y26" t="s">
        <v>458</v>
      </c>
      <c r="Z26" s="1">
        <v>1</v>
      </c>
      <c r="AA26" t="s">
        <v>459</v>
      </c>
      <c r="AC26" s="1"/>
      <c r="AD26" s="1"/>
      <c r="AE26" s="1"/>
      <c r="AI26" t="s">
        <v>51</v>
      </c>
      <c r="AJ26">
        <v>250</v>
      </c>
      <c r="AK26" t="s">
        <v>60</v>
      </c>
      <c r="AL26" t="s">
        <v>51</v>
      </c>
      <c r="AM26">
        <v>250</v>
      </c>
      <c r="AN26" t="s">
        <v>60</v>
      </c>
      <c r="AR26" t="s">
        <v>51</v>
      </c>
      <c r="AS26">
        <v>225</v>
      </c>
      <c r="AT26" t="s">
        <v>60</v>
      </c>
      <c r="AU26" t="s">
        <v>51</v>
      </c>
      <c r="AV26">
        <v>225</v>
      </c>
      <c r="AW26" t="s">
        <v>60</v>
      </c>
      <c r="BA26" t="s">
        <v>51</v>
      </c>
      <c r="BB26">
        <v>250</v>
      </c>
      <c r="BC26" t="s">
        <v>60</v>
      </c>
      <c r="BD26" t="s">
        <v>51</v>
      </c>
      <c r="BE26">
        <v>250</v>
      </c>
      <c r="BF26" t="s">
        <v>60</v>
      </c>
      <c r="BJ26" t="s">
        <v>51</v>
      </c>
      <c r="BK26">
        <f>BK27*BK28</f>
        <v>250</v>
      </c>
      <c r="BL26" t="s">
        <v>60</v>
      </c>
      <c r="BM26" t="s">
        <v>51</v>
      </c>
      <c r="BN26">
        <f>BN27*BN28</f>
        <v>250</v>
      </c>
      <c r="BO26" t="s">
        <v>60</v>
      </c>
      <c r="BS26" t="s">
        <v>226</v>
      </c>
      <c r="BT26">
        <v>75</v>
      </c>
      <c r="BU26" t="s">
        <v>52</v>
      </c>
      <c r="BV26" t="s">
        <v>151</v>
      </c>
      <c r="BW26">
        <v>1</v>
      </c>
      <c r="BX26" t="s">
        <v>152</v>
      </c>
      <c r="BY26" t="s">
        <v>98</v>
      </c>
      <c r="BZ26">
        <v>1</v>
      </c>
      <c r="CA26" t="s">
        <v>119</v>
      </c>
      <c r="CB26" t="s">
        <v>463</v>
      </c>
      <c r="CC26" s="1">
        <f>B11</f>
        <v>3.44E-2</v>
      </c>
      <c r="CE26" t="s">
        <v>463</v>
      </c>
      <c r="CF26" s="1">
        <f>B7</f>
        <v>6.8599999999999994E-2</v>
      </c>
      <c r="CN26" t="s">
        <v>312</v>
      </c>
      <c r="CO26" s="17">
        <v>1</v>
      </c>
      <c r="CP26" t="s">
        <v>431</v>
      </c>
      <c r="CT26" t="s">
        <v>77</v>
      </c>
      <c r="CU26" s="428">
        <f>((CU35*CU31*CU29*CU49)+(CU34*CU32*CU30*CU50))</f>
        <v>6475</v>
      </c>
      <c r="CV26" t="s">
        <v>407</v>
      </c>
      <c r="CW26" t="s">
        <v>433</v>
      </c>
      <c r="CX26" s="1">
        <f>B61</f>
        <v>0.15</v>
      </c>
      <c r="CZ26" t="s">
        <v>240</v>
      </c>
      <c r="DA26" s="427">
        <f>(DA35*DA37*DA42*DA44*DA51)+(DA36*DA38*DA43*DA45*DA52)</f>
        <v>239.57499999999999</v>
      </c>
      <c r="DB26" t="s">
        <v>408</v>
      </c>
      <c r="DF26" t="s">
        <v>64</v>
      </c>
      <c r="DG26">
        <f>B41</f>
        <v>0</v>
      </c>
      <c r="DO26" t="s">
        <v>70</v>
      </c>
      <c r="DP26">
        <v>0.26</v>
      </c>
      <c r="ED26" t="s">
        <v>70</v>
      </c>
      <c r="EE26">
        <v>0.25</v>
      </c>
      <c r="EJ26" t="s">
        <v>64</v>
      </c>
      <c r="EK26">
        <v>0.04</v>
      </c>
      <c r="ES26" t="s">
        <v>70</v>
      </c>
      <c r="ET26">
        <v>0.25</v>
      </c>
      <c r="FH26" t="s">
        <v>290</v>
      </c>
      <c r="FI26">
        <v>0.25</v>
      </c>
      <c r="FW26" t="s">
        <v>285</v>
      </c>
      <c r="FX26">
        <v>0.25</v>
      </c>
      <c r="GL26" t="s">
        <v>279</v>
      </c>
      <c r="GM26">
        <v>0.25</v>
      </c>
      <c r="HA26" t="s">
        <v>284</v>
      </c>
      <c r="HB26">
        <v>0.25</v>
      </c>
      <c r="HD26" t="s">
        <v>456</v>
      </c>
      <c r="HE26" s="1" t="e">
        <f>H3</f>
        <v>#DIV/0!</v>
      </c>
      <c r="HF26" t="s">
        <v>24</v>
      </c>
    </row>
    <row r="27" spans="1:214" ht="12.75" customHeight="1" x14ac:dyDescent="0.2">
      <c r="A27" t="s">
        <v>446</v>
      </c>
      <c r="B27" s="410">
        <v>0</v>
      </c>
      <c r="C27" t="s">
        <v>448</v>
      </c>
      <c r="D27" t="s">
        <v>434</v>
      </c>
      <c r="E27" s="1">
        <f>B60</f>
        <v>0.76923076923076927</v>
      </c>
      <c r="G27" t="s">
        <v>371</v>
      </c>
      <c r="H27" s="1">
        <f>B55</f>
        <v>28.5</v>
      </c>
      <c r="I27" t="s">
        <v>380</v>
      </c>
      <c r="J27" t="s">
        <v>375</v>
      </c>
      <c r="K27" s="1">
        <f>B53</f>
        <v>56.2</v>
      </c>
      <c r="L27" t="s">
        <v>380</v>
      </c>
      <c r="M27" t="s">
        <v>65</v>
      </c>
      <c r="N27">
        <v>1</v>
      </c>
      <c r="O27" t="s">
        <v>59</v>
      </c>
      <c r="P27" t="s">
        <v>65</v>
      </c>
      <c r="Q27">
        <v>1</v>
      </c>
      <c r="R27" t="s">
        <v>59</v>
      </c>
      <c r="V27" t="s">
        <v>49</v>
      </c>
      <c r="W27" s="1">
        <f>0.693/W28</f>
        <v>4.3312499999999997E-4</v>
      </c>
      <c r="Y27" t="s">
        <v>49</v>
      </c>
      <c r="Z27" s="1">
        <f>0.693/Z28</f>
        <v>4.3312499999999997E-4</v>
      </c>
      <c r="AB27" t="s">
        <v>65</v>
      </c>
      <c r="AC27">
        <v>25</v>
      </c>
      <c r="AD27">
        <v>25</v>
      </c>
      <c r="AE27">
        <v>25</v>
      </c>
      <c r="AF27">
        <v>1</v>
      </c>
      <c r="AG27">
        <v>1</v>
      </c>
      <c r="AH27" t="s">
        <v>119</v>
      </c>
      <c r="AI27" t="s">
        <v>65</v>
      </c>
      <c r="AJ27">
        <v>1</v>
      </c>
      <c r="AK27" t="s">
        <v>59</v>
      </c>
      <c r="AL27" t="s">
        <v>65</v>
      </c>
      <c r="AM27">
        <v>1</v>
      </c>
      <c r="AN27" t="s">
        <v>59</v>
      </c>
      <c r="AR27" t="s">
        <v>65</v>
      </c>
      <c r="AS27">
        <v>1</v>
      </c>
      <c r="AT27" t="s">
        <v>59</v>
      </c>
      <c r="AU27" t="s">
        <v>65</v>
      </c>
      <c r="AV27">
        <v>1</v>
      </c>
      <c r="AW27" t="s">
        <v>59</v>
      </c>
      <c r="BA27" t="s">
        <v>65</v>
      </c>
      <c r="BB27">
        <v>1</v>
      </c>
      <c r="BC27" t="s">
        <v>59</v>
      </c>
      <c r="BD27" t="s">
        <v>65</v>
      </c>
      <c r="BE27">
        <v>1</v>
      </c>
      <c r="BF27" t="s">
        <v>59</v>
      </c>
      <c r="BJ27" t="s">
        <v>378</v>
      </c>
      <c r="BK27">
        <v>50</v>
      </c>
      <c r="BL27" t="s">
        <v>389</v>
      </c>
      <c r="BM27" t="s">
        <v>378</v>
      </c>
      <c r="BN27">
        <v>50</v>
      </c>
      <c r="BO27" t="s">
        <v>389</v>
      </c>
      <c r="BS27" t="s">
        <v>221</v>
      </c>
      <c r="BT27">
        <v>75</v>
      </c>
      <c r="BU27" t="s">
        <v>52</v>
      </c>
      <c r="BV27" t="s">
        <v>153</v>
      </c>
      <c r="BW27">
        <v>1</v>
      </c>
      <c r="BX27" t="s">
        <v>152</v>
      </c>
      <c r="BY27" t="s">
        <v>83</v>
      </c>
      <c r="BZ27">
        <v>1</v>
      </c>
      <c r="CA27" t="s">
        <v>119</v>
      </c>
      <c r="CB27" t="s">
        <v>105</v>
      </c>
      <c r="CC27" s="1">
        <f>B12</f>
        <v>3.44E-2</v>
      </c>
      <c r="CE27" t="s">
        <v>105</v>
      </c>
      <c r="CF27" s="1">
        <f>B8</f>
        <v>0.73699999999999999</v>
      </c>
      <c r="CN27" t="s">
        <v>313</v>
      </c>
      <c r="CO27" s="17">
        <v>1</v>
      </c>
      <c r="CP27" t="s">
        <v>75</v>
      </c>
      <c r="CT27" t="s">
        <v>108</v>
      </c>
      <c r="CU27">
        <f>B48</f>
        <v>200</v>
      </c>
      <c r="CV27" t="s">
        <v>90</v>
      </c>
      <c r="CW27" t="s">
        <v>432</v>
      </c>
      <c r="CX27" s="1">
        <f>B62</f>
        <v>0.85</v>
      </c>
      <c r="CZ27" t="s">
        <v>97</v>
      </c>
      <c r="DA27">
        <f>B50</f>
        <v>0.78</v>
      </c>
      <c r="DB27" t="s">
        <v>56</v>
      </c>
      <c r="EB27" s="1"/>
      <c r="ED27" t="s">
        <v>317</v>
      </c>
      <c r="EE27" s="1">
        <f>B35</f>
        <v>1E-3</v>
      </c>
      <c r="EQ27" s="1"/>
      <c r="ES27" t="s">
        <v>318</v>
      </c>
      <c r="ET27" s="1">
        <f>B36</f>
        <v>1E-3</v>
      </c>
      <c r="FH27" t="s">
        <v>319</v>
      </c>
      <c r="FI27" s="406">
        <f>B38</f>
        <v>0</v>
      </c>
      <c r="FW27" t="s">
        <v>320</v>
      </c>
      <c r="FX27" s="17">
        <v>1</v>
      </c>
      <c r="GL27" t="s">
        <v>321</v>
      </c>
      <c r="GM27" s="406">
        <f>B37</f>
        <v>0</v>
      </c>
      <c r="HA27" t="s">
        <v>322</v>
      </c>
      <c r="HB27" s="406">
        <f>B39</f>
        <v>0</v>
      </c>
      <c r="HD27" t="s">
        <v>49</v>
      </c>
      <c r="HE27" s="1">
        <f>0.693/HE28</f>
        <v>4.3312499999999997E-4</v>
      </c>
    </row>
    <row r="28" spans="1:214" ht="15" thickBot="1" x14ac:dyDescent="0.25">
      <c r="A28" t="s">
        <v>447</v>
      </c>
      <c r="B28" s="410">
        <v>1.0399999999999999E-3</v>
      </c>
      <c r="C28" t="s">
        <v>448</v>
      </c>
      <c r="G28" t="s">
        <v>131</v>
      </c>
      <c r="H28">
        <v>0.5</v>
      </c>
      <c r="I28" t="s">
        <v>132</v>
      </c>
      <c r="J28" t="s">
        <v>372</v>
      </c>
      <c r="K28" s="427">
        <f>(K31*K35*K29*K53)+(K32*K34*K30*K54)</f>
        <v>8513.0769230769238</v>
      </c>
      <c r="L28" t="s">
        <v>213</v>
      </c>
      <c r="M28" t="s">
        <v>462</v>
      </c>
      <c r="N28">
        <v>0.4</v>
      </c>
      <c r="P28" t="s">
        <v>462</v>
      </c>
      <c r="Q28">
        <v>0.4</v>
      </c>
      <c r="V28" t="s">
        <v>411</v>
      </c>
      <c r="W28" s="1">
        <f>B29</f>
        <v>1600</v>
      </c>
      <c r="X28" t="s">
        <v>119</v>
      </c>
      <c r="Y28" t="s">
        <v>411</v>
      </c>
      <c r="Z28" s="1">
        <f>B29</f>
        <v>1600</v>
      </c>
      <c r="AA28" t="s">
        <v>119</v>
      </c>
      <c r="AB28" t="s">
        <v>155</v>
      </c>
      <c r="AC28" s="1">
        <f t="shared" ref="AC28:AF29" si="0">8/24</f>
        <v>0.33333333333333331</v>
      </c>
      <c r="AD28" s="1">
        <f t="shared" si="0"/>
        <v>0.33333333333333331</v>
      </c>
      <c r="AE28" s="1">
        <f t="shared" si="0"/>
        <v>0.33333333333333331</v>
      </c>
      <c r="AF28" s="1">
        <f t="shared" si="0"/>
        <v>0.33333333333333331</v>
      </c>
      <c r="AG28" s="1">
        <f>8/24</f>
        <v>0.33333333333333331</v>
      </c>
      <c r="AI28" t="s">
        <v>462</v>
      </c>
      <c r="AJ28">
        <v>0.4</v>
      </c>
      <c r="AL28" t="s">
        <v>462</v>
      </c>
      <c r="AM28">
        <v>0.4</v>
      </c>
      <c r="AR28" t="s">
        <v>462</v>
      </c>
      <c r="AS28">
        <v>0.4</v>
      </c>
      <c r="BA28" t="s">
        <v>462</v>
      </c>
      <c r="BB28">
        <v>0.4</v>
      </c>
      <c r="BJ28" t="s">
        <v>377</v>
      </c>
      <c r="BK28">
        <v>5</v>
      </c>
      <c r="BL28" t="s">
        <v>390</v>
      </c>
      <c r="BM28" t="s">
        <v>377</v>
      </c>
      <c r="BN28">
        <v>5</v>
      </c>
      <c r="BO28" t="s">
        <v>390</v>
      </c>
      <c r="BS28" t="s">
        <v>174</v>
      </c>
      <c r="BT28">
        <v>26</v>
      </c>
      <c r="BU28" t="s">
        <v>119</v>
      </c>
      <c r="BW28">
        <f>1/1000</f>
        <v>1E-3</v>
      </c>
      <c r="BX28" t="s">
        <v>154</v>
      </c>
      <c r="BY28" t="s">
        <v>166</v>
      </c>
      <c r="BZ28">
        <v>1</v>
      </c>
      <c r="CA28" t="s">
        <v>80</v>
      </c>
      <c r="CB28" t="s">
        <v>166</v>
      </c>
      <c r="CC28">
        <v>1</v>
      </c>
      <c r="CD28" t="s">
        <v>117</v>
      </c>
      <c r="CE28" t="s">
        <v>166</v>
      </c>
      <c r="CF28">
        <v>1</v>
      </c>
      <c r="CG28" t="s">
        <v>117</v>
      </c>
      <c r="CN28" t="s">
        <v>314</v>
      </c>
      <c r="CO28" s="17">
        <v>1</v>
      </c>
      <c r="CP28" t="s">
        <v>75</v>
      </c>
      <c r="CT28" t="s">
        <v>127</v>
      </c>
      <c r="CU28">
        <f>B49</f>
        <v>100</v>
      </c>
      <c r="CV28" t="s">
        <v>90</v>
      </c>
      <c r="CZ28" t="s">
        <v>123</v>
      </c>
      <c r="DA28">
        <f>B51</f>
        <v>2.5</v>
      </c>
      <c r="DB28" t="s">
        <v>56</v>
      </c>
      <c r="FW28" t="s">
        <v>186</v>
      </c>
      <c r="FX28" s="1">
        <v>30</v>
      </c>
      <c r="HD28" t="s">
        <v>411</v>
      </c>
      <c r="HE28" s="1">
        <f>B29</f>
        <v>1600</v>
      </c>
      <c r="HF28" t="s">
        <v>119</v>
      </c>
    </row>
    <row r="29" spans="1:214" ht="15.75" thickTop="1" x14ac:dyDescent="0.2">
      <c r="A29" t="s">
        <v>411</v>
      </c>
      <c r="B29" s="410">
        <v>1600</v>
      </c>
      <c r="C29" t="s">
        <v>417</v>
      </c>
      <c r="D29" s="103" t="s">
        <v>3</v>
      </c>
      <c r="E29" s="104"/>
      <c r="F29" s="105" t="s">
        <v>0</v>
      </c>
      <c r="G29" t="s">
        <v>67</v>
      </c>
      <c r="H29">
        <v>350</v>
      </c>
      <c r="I29" t="s">
        <v>52</v>
      </c>
      <c r="J29" t="s">
        <v>370</v>
      </c>
      <c r="K29" s="1">
        <f>B54</f>
        <v>10.4</v>
      </c>
      <c r="L29" t="s">
        <v>380</v>
      </c>
      <c r="M29" t="s">
        <v>463</v>
      </c>
      <c r="N29" s="1">
        <f>B11</f>
        <v>3.44E-2</v>
      </c>
      <c r="P29" t="s">
        <v>463</v>
      </c>
      <c r="Q29" s="1">
        <f>B7</f>
        <v>6.8599999999999994E-2</v>
      </c>
      <c r="V29" t="s">
        <v>51</v>
      </c>
      <c r="W29">
        <v>250</v>
      </c>
      <c r="X29" t="s">
        <v>60</v>
      </c>
      <c r="Y29" t="s">
        <v>51</v>
      </c>
      <c r="Z29">
        <f>Z41*Z42</f>
        <v>250</v>
      </c>
      <c r="AA29" t="s">
        <v>60</v>
      </c>
      <c r="AB29" t="s">
        <v>158</v>
      </c>
      <c r="AC29" s="1">
        <f t="shared" si="0"/>
        <v>0.33333333333333331</v>
      </c>
      <c r="AD29" s="1">
        <f t="shared" si="0"/>
        <v>0.33333333333333331</v>
      </c>
      <c r="AE29" s="1">
        <f t="shared" si="0"/>
        <v>0.33333333333333331</v>
      </c>
      <c r="AF29" s="1">
        <f t="shared" si="0"/>
        <v>0.33333333333333331</v>
      </c>
      <c r="AG29" s="1">
        <f>8/24</f>
        <v>0.33333333333333331</v>
      </c>
      <c r="AI29" t="s">
        <v>463</v>
      </c>
      <c r="AJ29" s="1">
        <f>B11</f>
        <v>3.44E-2</v>
      </c>
      <c r="AL29" t="s">
        <v>463</v>
      </c>
      <c r="AM29" s="1">
        <f>B7</f>
        <v>6.8599999999999994E-2</v>
      </c>
      <c r="AR29" t="s">
        <v>463</v>
      </c>
      <c r="AS29" s="1">
        <f>B11</f>
        <v>3.44E-2</v>
      </c>
      <c r="AU29" t="s">
        <v>463</v>
      </c>
      <c r="AV29" s="1">
        <f>B7</f>
        <v>6.8599999999999994E-2</v>
      </c>
      <c r="BA29" t="s">
        <v>463</v>
      </c>
      <c r="BB29" s="1">
        <f>B11</f>
        <v>3.44E-2</v>
      </c>
      <c r="BD29" t="s">
        <v>463</v>
      </c>
      <c r="BE29" s="1">
        <f>B7</f>
        <v>6.8599999999999994E-2</v>
      </c>
      <c r="BJ29" t="s">
        <v>65</v>
      </c>
      <c r="BK29">
        <v>1</v>
      </c>
      <c r="BL29" t="s">
        <v>59</v>
      </c>
      <c r="BM29" t="s">
        <v>65</v>
      </c>
      <c r="BN29">
        <v>1</v>
      </c>
      <c r="BO29" t="s">
        <v>59</v>
      </c>
      <c r="BS29" t="s">
        <v>435</v>
      </c>
      <c r="BT29">
        <f>BT14/BT16</f>
        <v>1</v>
      </c>
      <c r="BU29" s="2"/>
      <c r="BW29">
        <v>1000</v>
      </c>
      <c r="BX29" t="s">
        <v>157</v>
      </c>
      <c r="BY29" t="s">
        <v>238</v>
      </c>
      <c r="BZ29">
        <v>1</v>
      </c>
      <c r="CA29" t="s">
        <v>80</v>
      </c>
      <c r="CB29" t="s">
        <v>460</v>
      </c>
      <c r="CC29" s="1">
        <f>B22</f>
        <v>0</v>
      </c>
      <c r="CD29" t="s">
        <v>121</v>
      </c>
      <c r="CE29" t="s">
        <v>460</v>
      </c>
      <c r="CF29" s="1">
        <f>B24</f>
        <v>0</v>
      </c>
      <c r="CG29" t="s">
        <v>121</v>
      </c>
      <c r="CT29" t="s">
        <v>223</v>
      </c>
      <c r="CU29">
        <f>B45</f>
        <v>10</v>
      </c>
      <c r="CV29" t="s">
        <v>78</v>
      </c>
      <c r="CZ29" t="s">
        <v>223</v>
      </c>
      <c r="DA29">
        <f>B45</f>
        <v>10</v>
      </c>
      <c r="DB29" t="s">
        <v>241</v>
      </c>
      <c r="FW29" t="s">
        <v>296</v>
      </c>
      <c r="FX29" s="1">
        <v>8.1999999999999993</v>
      </c>
      <c r="HD29" t="s">
        <v>156</v>
      </c>
      <c r="HE29">
        <v>0.3</v>
      </c>
    </row>
    <row r="30" spans="1:214" ht="15" x14ac:dyDescent="0.2">
      <c r="A30" t="s">
        <v>148</v>
      </c>
      <c r="B30" s="410">
        <f>PEF!D3</f>
        <v>1359344473.5814338</v>
      </c>
      <c r="D30" s="106" t="s">
        <v>150</v>
      </c>
      <c r="E30" s="107" t="s">
        <v>456</v>
      </c>
      <c r="F30" s="108" t="s">
        <v>22</v>
      </c>
      <c r="G30" t="s">
        <v>73</v>
      </c>
      <c r="H30">
        <v>350</v>
      </c>
      <c r="I30" t="s">
        <v>52</v>
      </c>
      <c r="J30" t="s">
        <v>371</v>
      </c>
      <c r="K30" s="1">
        <f>B55</f>
        <v>28.5</v>
      </c>
      <c r="L30" t="s">
        <v>380</v>
      </c>
      <c r="M30" t="s">
        <v>105</v>
      </c>
      <c r="N30" s="1">
        <f>B12</f>
        <v>3.44E-2</v>
      </c>
      <c r="P30" t="s">
        <v>105</v>
      </c>
      <c r="Q30" s="1">
        <f>B8</f>
        <v>0.73699999999999999</v>
      </c>
      <c r="V30" t="s">
        <v>65</v>
      </c>
      <c r="W30">
        <v>1</v>
      </c>
      <c r="X30" t="s">
        <v>59</v>
      </c>
      <c r="Y30" t="s">
        <v>65</v>
      </c>
      <c r="Z30">
        <v>1</v>
      </c>
      <c r="AA30" t="s">
        <v>59</v>
      </c>
      <c r="AB30" t="s">
        <v>161</v>
      </c>
      <c r="AC30">
        <v>0.4</v>
      </c>
      <c r="AD30">
        <v>0.4</v>
      </c>
      <c r="AE30">
        <v>0.4</v>
      </c>
      <c r="AF30">
        <v>0.4</v>
      </c>
      <c r="AG30">
        <v>0.4</v>
      </c>
      <c r="AI30" t="s">
        <v>105</v>
      </c>
      <c r="AJ30" s="1">
        <f>B12</f>
        <v>3.44E-2</v>
      </c>
      <c r="AL30" t="s">
        <v>105</v>
      </c>
      <c r="AM30" s="1">
        <f>B8</f>
        <v>0.73699999999999999</v>
      </c>
      <c r="AR30" t="s">
        <v>105</v>
      </c>
      <c r="AS30" s="1">
        <f>B12</f>
        <v>3.44E-2</v>
      </c>
      <c r="AU30" t="s">
        <v>105</v>
      </c>
      <c r="AV30" s="1">
        <f>B8</f>
        <v>0.73699999999999999</v>
      </c>
      <c r="BA30" t="s">
        <v>105</v>
      </c>
      <c r="BB30" s="1">
        <f>B12</f>
        <v>3.44E-2</v>
      </c>
      <c r="BD30" t="s">
        <v>105</v>
      </c>
      <c r="BE30" s="1">
        <f>B8</f>
        <v>0.73699999999999999</v>
      </c>
      <c r="BS30" t="s">
        <v>434</v>
      </c>
      <c r="BT30">
        <f>BT15/BT16</f>
        <v>1</v>
      </c>
      <c r="BW30">
        <v>1000</v>
      </c>
      <c r="BX30" t="s">
        <v>376</v>
      </c>
      <c r="BY30" t="s">
        <v>239</v>
      </c>
      <c r="BZ30">
        <v>1</v>
      </c>
      <c r="CA30" t="s">
        <v>80</v>
      </c>
      <c r="CT30" t="s">
        <v>224</v>
      </c>
      <c r="CU30">
        <f>B46</f>
        <v>20</v>
      </c>
      <c r="CV30" t="s">
        <v>78</v>
      </c>
      <c r="CZ30" t="s">
        <v>224</v>
      </c>
      <c r="DA30">
        <f>B46</f>
        <v>20</v>
      </c>
      <c r="DB30" t="s">
        <v>241</v>
      </c>
      <c r="FX30">
        <v>1000</v>
      </c>
      <c r="FY30" t="s">
        <v>213</v>
      </c>
      <c r="HD30" t="s">
        <v>159</v>
      </c>
      <c r="HE30" s="1">
        <v>1.5</v>
      </c>
    </row>
    <row r="31" spans="1:214" x14ac:dyDescent="0.2">
      <c r="A31" t="s">
        <v>184</v>
      </c>
      <c r="B31" s="410">
        <f>PEF!G3</f>
        <v>776129.4078035407</v>
      </c>
      <c r="D31" s="106" t="s">
        <v>150</v>
      </c>
      <c r="E31" s="109">
        <f>E38</f>
        <v>3.7074935860360965E-3</v>
      </c>
      <c r="F31" s="110"/>
      <c r="G31" t="s">
        <v>100</v>
      </c>
      <c r="H31">
        <v>1</v>
      </c>
      <c r="I31" t="s">
        <v>119</v>
      </c>
      <c r="J31" t="s">
        <v>67</v>
      </c>
      <c r="K31">
        <v>350</v>
      </c>
      <c r="L31" t="s">
        <v>52</v>
      </c>
      <c r="M31" t="s">
        <v>114</v>
      </c>
      <c r="N31">
        <v>7.2999999999999995E-2</v>
      </c>
      <c r="O31" t="s">
        <v>115</v>
      </c>
      <c r="P31" t="s">
        <v>114</v>
      </c>
      <c r="Q31">
        <v>7.2999999999999995E-2</v>
      </c>
      <c r="R31" t="s">
        <v>115</v>
      </c>
      <c r="V31" t="s">
        <v>436</v>
      </c>
      <c r="W31" s="1">
        <f>B17</f>
        <v>1.2999999999999999E-2</v>
      </c>
      <c r="X31" t="s">
        <v>72</v>
      </c>
      <c r="Y31" t="s">
        <v>436</v>
      </c>
      <c r="Z31" s="1">
        <f>B17</f>
        <v>1.2999999999999999E-2</v>
      </c>
      <c r="AA31" t="s">
        <v>72</v>
      </c>
      <c r="AB31" t="s">
        <v>144</v>
      </c>
      <c r="AC31">
        <v>25</v>
      </c>
      <c r="AD31">
        <v>25</v>
      </c>
      <c r="AE31">
        <v>25</v>
      </c>
      <c r="AF31">
        <v>1</v>
      </c>
      <c r="AG31">
        <v>1</v>
      </c>
      <c r="AH31" t="s">
        <v>88</v>
      </c>
      <c r="AI31" t="s">
        <v>114</v>
      </c>
      <c r="AJ31">
        <v>0</v>
      </c>
      <c r="AK31" t="s">
        <v>115</v>
      </c>
      <c r="AL31" t="s">
        <v>114</v>
      </c>
      <c r="AM31">
        <v>0</v>
      </c>
      <c r="AN31" t="s">
        <v>115</v>
      </c>
      <c r="AR31" t="s">
        <v>116</v>
      </c>
      <c r="AS31">
        <f>8/24</f>
        <v>0.33333333333333331</v>
      </c>
      <c r="AT31" t="s">
        <v>117</v>
      </c>
      <c r="AU31" t="s">
        <v>114</v>
      </c>
      <c r="AV31">
        <f>8/24</f>
        <v>0.33333333333333331</v>
      </c>
      <c r="AW31" t="s">
        <v>115</v>
      </c>
      <c r="BA31" t="s">
        <v>116</v>
      </c>
      <c r="BB31">
        <f>8/24</f>
        <v>0.33333333333333331</v>
      </c>
      <c r="BC31" t="s">
        <v>117</v>
      </c>
      <c r="BD31" t="s">
        <v>114</v>
      </c>
      <c r="BE31">
        <f>8/24</f>
        <v>0.33333333333333331</v>
      </c>
      <c r="BF31" t="s">
        <v>115</v>
      </c>
      <c r="BJ31" t="s">
        <v>463</v>
      </c>
      <c r="BK31" s="1">
        <f>B11</f>
        <v>3.44E-2</v>
      </c>
      <c r="BM31" t="s">
        <v>463</v>
      </c>
      <c r="BN31" s="1">
        <f>B7</f>
        <v>6.8599999999999994E-2</v>
      </c>
      <c r="BW31">
        <v>365</v>
      </c>
      <c r="BX31" t="s">
        <v>52</v>
      </c>
      <c r="BY31" t="s">
        <v>465</v>
      </c>
      <c r="BZ31" s="1">
        <f>B2</f>
        <v>0.124</v>
      </c>
      <c r="CT31" t="s">
        <v>67</v>
      </c>
      <c r="CU31">
        <v>350</v>
      </c>
      <c r="CV31" t="s">
        <v>52</v>
      </c>
      <c r="CZ31" t="s">
        <v>242</v>
      </c>
      <c r="DA31" s="1">
        <f>B52</f>
        <v>14.8</v>
      </c>
      <c r="DB31" t="s">
        <v>380</v>
      </c>
      <c r="HD31" t="s">
        <v>58</v>
      </c>
      <c r="HE31">
        <v>26</v>
      </c>
    </row>
    <row r="32" spans="1:214" ht="13.5" thickBot="1" x14ac:dyDescent="0.25">
      <c r="A32" t="s">
        <v>185</v>
      </c>
      <c r="B32" s="410">
        <f>PEF!J3</f>
        <v>69557565.807898715</v>
      </c>
      <c r="D32" s="111"/>
      <c r="E32" s="112" t="s">
        <v>33</v>
      </c>
      <c r="F32" s="113"/>
      <c r="G32" t="s">
        <v>83</v>
      </c>
      <c r="H32">
        <v>1</v>
      </c>
      <c r="J32" t="s">
        <v>73</v>
      </c>
      <c r="K32">
        <v>350</v>
      </c>
      <c r="L32" t="s">
        <v>52</v>
      </c>
      <c r="M32" t="s">
        <v>460</v>
      </c>
      <c r="N32" s="1">
        <f>B22</f>
        <v>0</v>
      </c>
      <c r="O32" t="s">
        <v>121</v>
      </c>
      <c r="P32" t="s">
        <v>460</v>
      </c>
      <c r="Q32" s="1">
        <f>B24</f>
        <v>0</v>
      </c>
      <c r="R32" t="s">
        <v>121</v>
      </c>
      <c r="V32" t="s">
        <v>79</v>
      </c>
      <c r="W32">
        <v>8</v>
      </c>
      <c r="X32" t="s">
        <v>80</v>
      </c>
      <c r="Y32" t="s">
        <v>79</v>
      </c>
      <c r="Z32">
        <v>8</v>
      </c>
      <c r="AA32" t="s">
        <v>80</v>
      </c>
      <c r="AB32" t="s">
        <v>49</v>
      </c>
      <c r="AC32" s="1">
        <f>0.693/AC33</f>
        <v>4.3312499999999997E-4</v>
      </c>
      <c r="AD32" s="1">
        <f>0.693/AD33</f>
        <v>4.3312499999999997E-4</v>
      </c>
      <c r="AE32" s="1">
        <f>0.693/AE33</f>
        <v>4.3312499999999997E-4</v>
      </c>
      <c r="AF32" s="1">
        <f>0.693/AF33</f>
        <v>4.3312499999999997E-4</v>
      </c>
      <c r="AG32" s="1">
        <f>0.693/AG33</f>
        <v>4.3312499999999997E-4</v>
      </c>
      <c r="AI32" t="s">
        <v>460</v>
      </c>
      <c r="AJ32" s="1">
        <f>B22</f>
        <v>0</v>
      </c>
      <c r="AK32" t="s">
        <v>121</v>
      </c>
      <c r="AL32" t="s">
        <v>460</v>
      </c>
      <c r="AM32" s="1">
        <f>B24</f>
        <v>0</v>
      </c>
      <c r="AN32" t="s">
        <v>121</v>
      </c>
      <c r="AR32" t="s">
        <v>460</v>
      </c>
      <c r="AS32" s="1">
        <f>B22</f>
        <v>0</v>
      </c>
      <c r="AT32" t="s">
        <v>121</v>
      </c>
      <c r="AU32" t="s">
        <v>460</v>
      </c>
      <c r="AV32" s="1">
        <f>B24</f>
        <v>0</v>
      </c>
      <c r="AW32" t="s">
        <v>121</v>
      </c>
      <c r="BA32" t="s">
        <v>460</v>
      </c>
      <c r="BB32" s="1">
        <f>B22</f>
        <v>0</v>
      </c>
      <c r="BC32" t="s">
        <v>121</v>
      </c>
      <c r="BD32" t="s">
        <v>460</v>
      </c>
      <c r="BE32" s="1">
        <f>B24</f>
        <v>0</v>
      </c>
      <c r="BF32" t="s">
        <v>121</v>
      </c>
      <c r="BJ32" t="s">
        <v>105</v>
      </c>
      <c r="BK32" s="1">
        <f>B12</f>
        <v>3.44E-2</v>
      </c>
      <c r="BM32" t="s">
        <v>105</v>
      </c>
      <c r="BN32" s="1">
        <f>B8</f>
        <v>0.73699999999999999</v>
      </c>
      <c r="BT32" s="1"/>
      <c r="BW32">
        <v>8760</v>
      </c>
      <c r="BX32" t="s">
        <v>237</v>
      </c>
      <c r="BY32" t="s">
        <v>105</v>
      </c>
      <c r="BZ32" s="1">
        <f>B3</f>
        <v>0.79200000000000004</v>
      </c>
      <c r="CT32" t="s">
        <v>73</v>
      </c>
      <c r="CU32">
        <v>350</v>
      </c>
      <c r="CV32" t="s">
        <v>52</v>
      </c>
      <c r="CZ32" t="s">
        <v>162</v>
      </c>
      <c r="DA32" s="1">
        <f>B53</f>
        <v>56.2</v>
      </c>
      <c r="DB32" t="s">
        <v>380</v>
      </c>
      <c r="DY32" s="413"/>
      <c r="HD32" t="s">
        <v>65</v>
      </c>
      <c r="HE32" s="1">
        <v>70</v>
      </c>
    </row>
    <row r="33" spans="1:214" ht="13.15" customHeight="1" thickTop="1" x14ac:dyDescent="0.2">
      <c r="A33" t="s">
        <v>411</v>
      </c>
      <c r="B33" s="410">
        <v>584000</v>
      </c>
      <c r="C33" t="s">
        <v>381</v>
      </c>
      <c r="D33" t="s">
        <v>485</v>
      </c>
      <c r="E33" s="1">
        <v>1</v>
      </c>
      <c r="G33" t="s">
        <v>98</v>
      </c>
      <c r="H33">
        <v>1</v>
      </c>
      <c r="J33" t="s">
        <v>100</v>
      </c>
      <c r="K33">
        <v>1</v>
      </c>
      <c r="L33" t="s">
        <v>119</v>
      </c>
      <c r="M33" t="s">
        <v>136</v>
      </c>
      <c r="N33">
        <v>0.68300000000000005</v>
      </c>
      <c r="O33" t="s">
        <v>115</v>
      </c>
      <c r="P33" t="s">
        <v>136</v>
      </c>
      <c r="Q33">
        <v>0.68300000000000005</v>
      </c>
      <c r="R33" t="s">
        <v>115</v>
      </c>
      <c r="W33">
        <v>24</v>
      </c>
      <c r="X33" t="s">
        <v>80</v>
      </c>
      <c r="Z33">
        <v>24</v>
      </c>
      <c r="AA33" t="s">
        <v>80</v>
      </c>
      <c r="AB33" t="s">
        <v>411</v>
      </c>
      <c r="AC33" s="1">
        <f>B29</f>
        <v>1600</v>
      </c>
      <c r="AD33" s="1">
        <f>B29</f>
        <v>1600</v>
      </c>
      <c r="AE33" s="1">
        <f>B29</f>
        <v>1600</v>
      </c>
      <c r="AF33" s="1">
        <f>B29</f>
        <v>1600</v>
      </c>
      <c r="AG33" s="1">
        <f>B29</f>
        <v>1600</v>
      </c>
      <c r="AH33" t="s">
        <v>119</v>
      </c>
      <c r="AI33" t="s">
        <v>136</v>
      </c>
      <c r="AJ33">
        <f>8/24</f>
        <v>0.33333333333333331</v>
      </c>
      <c r="AK33" t="s">
        <v>115</v>
      </c>
      <c r="AL33" t="s">
        <v>136</v>
      </c>
      <c r="AM33">
        <f>8/24</f>
        <v>0.33333333333333331</v>
      </c>
      <c r="AN33" t="s">
        <v>115</v>
      </c>
      <c r="AR33" t="s">
        <v>136</v>
      </c>
      <c r="AS33">
        <v>0</v>
      </c>
      <c r="AT33" t="s">
        <v>115</v>
      </c>
      <c r="AU33" t="s">
        <v>136</v>
      </c>
      <c r="AV33">
        <v>0</v>
      </c>
      <c r="AW33" t="s">
        <v>115</v>
      </c>
      <c r="BA33" t="s">
        <v>136</v>
      </c>
      <c r="BB33">
        <v>0</v>
      </c>
      <c r="BC33" t="s">
        <v>115</v>
      </c>
      <c r="BD33" t="s">
        <v>136</v>
      </c>
      <c r="BE33">
        <v>0</v>
      </c>
      <c r="BF33" t="s">
        <v>115</v>
      </c>
      <c r="BJ33" t="s">
        <v>116</v>
      </c>
      <c r="BK33">
        <f>8/24</f>
        <v>0.33333333333333331</v>
      </c>
      <c r="BL33" t="s">
        <v>117</v>
      </c>
      <c r="BM33" t="s">
        <v>114</v>
      </c>
      <c r="BN33">
        <f>8/24</f>
        <v>0.33333333333333331</v>
      </c>
      <c r="BO33" t="s">
        <v>115</v>
      </c>
      <c r="BV33" t="s">
        <v>435</v>
      </c>
      <c r="BW33">
        <f>BW21/BW20</f>
        <v>1</v>
      </c>
      <c r="BY33" t="s">
        <v>174</v>
      </c>
      <c r="BZ33">
        <v>26</v>
      </c>
      <c r="CA33" t="s">
        <v>88</v>
      </c>
      <c r="CT33" t="s">
        <v>229</v>
      </c>
      <c r="CU33">
        <v>1</v>
      </c>
      <c r="CV33" t="s">
        <v>119</v>
      </c>
      <c r="CZ33" t="s">
        <v>243</v>
      </c>
      <c r="DA33" s="1">
        <f>B54</f>
        <v>10.4</v>
      </c>
      <c r="DB33" t="s">
        <v>380</v>
      </c>
      <c r="DY33" s="413"/>
      <c r="HD33" t="s">
        <v>391</v>
      </c>
      <c r="HE33" s="1">
        <f>1+((HE35*HE36*HE37)/(HE38*HE39))</f>
        <v>16.660043458695149</v>
      </c>
    </row>
    <row r="34" spans="1:214" ht="13.15" customHeight="1" x14ac:dyDescent="0.2">
      <c r="A34" t="s">
        <v>186</v>
      </c>
      <c r="B34" s="410">
        <v>50</v>
      </c>
      <c r="C34" t="s">
        <v>45</v>
      </c>
      <c r="D34" t="s">
        <v>51</v>
      </c>
      <c r="E34">
        <v>350</v>
      </c>
      <c r="F34" t="s">
        <v>52</v>
      </c>
      <c r="G34" t="s">
        <v>163</v>
      </c>
      <c r="H34">
        <v>0.54</v>
      </c>
      <c r="I34" t="s">
        <v>164</v>
      </c>
      <c r="J34" t="s">
        <v>98</v>
      </c>
      <c r="K34">
        <v>1</v>
      </c>
      <c r="L34" t="s">
        <v>119</v>
      </c>
      <c r="V34" t="s">
        <v>96</v>
      </c>
      <c r="W34">
        <f>B47</f>
        <v>60</v>
      </c>
      <c r="X34" t="s">
        <v>78</v>
      </c>
      <c r="Y34" t="s">
        <v>96</v>
      </c>
      <c r="Z34">
        <f>B47</f>
        <v>60</v>
      </c>
      <c r="AA34" t="s">
        <v>78</v>
      </c>
      <c r="AC34">
        <v>365</v>
      </c>
      <c r="AD34">
        <v>365</v>
      </c>
      <c r="AE34">
        <v>365</v>
      </c>
      <c r="AF34">
        <v>365</v>
      </c>
      <c r="AG34">
        <v>365</v>
      </c>
      <c r="AH34" t="s">
        <v>173</v>
      </c>
      <c r="BJ34" t="s">
        <v>460</v>
      </c>
      <c r="BK34" s="1">
        <f>B22</f>
        <v>0</v>
      </c>
      <c r="BL34" t="s">
        <v>121</v>
      </c>
      <c r="BM34" t="s">
        <v>460</v>
      </c>
      <c r="BN34" s="1">
        <f>B24</f>
        <v>0</v>
      </c>
      <c r="BO34" t="s">
        <v>121</v>
      </c>
      <c r="BV34" t="s">
        <v>434</v>
      </c>
      <c r="BW34">
        <f>BW22/BW20</f>
        <v>1</v>
      </c>
      <c r="BZ34">
        <v>365</v>
      </c>
      <c r="CA34" t="s">
        <v>173</v>
      </c>
      <c r="CH34" s="429" t="s">
        <v>393</v>
      </c>
      <c r="CI34" s="429"/>
      <c r="CJ34" s="429"/>
      <c r="CK34" s="429"/>
      <c r="CL34" s="429"/>
      <c r="CT34" t="s">
        <v>98</v>
      </c>
      <c r="CU34">
        <v>1</v>
      </c>
      <c r="CV34" t="s">
        <v>119</v>
      </c>
      <c r="CZ34" t="s">
        <v>244</v>
      </c>
      <c r="DA34" s="1">
        <f>B55</f>
        <v>28.5</v>
      </c>
      <c r="DB34" t="s">
        <v>380</v>
      </c>
      <c r="DS34" s="1"/>
      <c r="DY34" s="413"/>
      <c r="EH34" s="1"/>
      <c r="HD34" t="s">
        <v>167</v>
      </c>
      <c r="HE34">
        <v>8.1999999999999993</v>
      </c>
    </row>
    <row r="35" spans="1:214" ht="13.15" customHeight="1" x14ac:dyDescent="0.2">
      <c r="A35" t="s">
        <v>421</v>
      </c>
      <c r="B35" s="410">
        <v>1E-3</v>
      </c>
      <c r="D35" t="s">
        <v>447</v>
      </c>
      <c r="E35" s="1">
        <f>B28</f>
        <v>1.0399999999999999E-3</v>
      </c>
      <c r="F35" t="s">
        <v>160</v>
      </c>
      <c r="G35" t="s">
        <v>165</v>
      </c>
      <c r="H35">
        <v>0.71</v>
      </c>
      <c r="I35" t="s">
        <v>164</v>
      </c>
      <c r="J35" t="s">
        <v>83</v>
      </c>
      <c r="K35">
        <v>1</v>
      </c>
      <c r="L35" t="s">
        <v>119</v>
      </c>
      <c r="M35" s="407"/>
      <c r="N35" s="407"/>
      <c r="O35" s="407"/>
      <c r="P35" s="407"/>
      <c r="Q35" s="407"/>
      <c r="R35" s="407"/>
      <c r="V35" t="s">
        <v>445</v>
      </c>
      <c r="W35" s="1">
        <f>B26</f>
        <v>0</v>
      </c>
      <c r="X35" t="s">
        <v>107</v>
      </c>
      <c r="Y35" t="s">
        <v>445</v>
      </c>
      <c r="Z35" s="1">
        <f>B26</f>
        <v>0</v>
      </c>
      <c r="AA35" t="s">
        <v>107</v>
      </c>
      <c r="AB35" t="s">
        <v>37</v>
      </c>
      <c r="AC35">
        <f>(AC31*AC32)/(1-EXP(-AC32*AC31))</f>
        <v>1.0054238331718262</v>
      </c>
      <c r="AD35">
        <f>(AD31*AD32)/(1-EXP(-AD32*AD31))</f>
        <v>1.0054238331718262</v>
      </c>
      <c r="AE35">
        <f>(AE31*AE32)/(1-EXP(-AE32*AE31))</f>
        <v>1.0054238331718262</v>
      </c>
      <c r="AF35">
        <f>(AF31*AF32)/(1-EXP(-AF32*AF31))</f>
        <v>1.0002165781331087</v>
      </c>
      <c r="AG35">
        <f>(AG31*AG32)/(1-EXP(-AG32*AG31))</f>
        <v>1.0002165781331087</v>
      </c>
      <c r="BT35" s="1"/>
      <c r="BZ35">
        <v>1000</v>
      </c>
      <c r="CA35" t="s">
        <v>179</v>
      </c>
      <c r="CH35" s="429"/>
      <c r="CI35" s="429"/>
      <c r="CJ35" s="429"/>
      <c r="CK35" s="429"/>
      <c r="CL35" s="429"/>
      <c r="CT35" t="s">
        <v>83</v>
      </c>
      <c r="CU35">
        <v>1</v>
      </c>
      <c r="CV35" t="s">
        <v>119</v>
      </c>
      <c r="CZ35" t="s">
        <v>246</v>
      </c>
      <c r="DA35">
        <v>350</v>
      </c>
      <c r="DB35" t="s">
        <v>245</v>
      </c>
      <c r="DS35" s="1"/>
      <c r="DY35" s="413"/>
      <c r="EH35" s="1"/>
      <c r="HD35" t="s">
        <v>131</v>
      </c>
      <c r="HE35" s="4">
        <v>5</v>
      </c>
      <c r="HF35" t="s">
        <v>170</v>
      </c>
    </row>
    <row r="36" spans="1:214" ht="13.15" customHeight="1" x14ac:dyDescent="0.2">
      <c r="A36" t="s">
        <v>418</v>
      </c>
      <c r="B36" s="410">
        <v>1E-3</v>
      </c>
      <c r="D36" t="s">
        <v>65</v>
      </c>
      <c r="E36">
        <v>26</v>
      </c>
      <c r="F36" t="s">
        <v>119</v>
      </c>
      <c r="G36" t="s">
        <v>168</v>
      </c>
      <c r="H36">
        <v>24</v>
      </c>
      <c r="I36" t="s">
        <v>80</v>
      </c>
      <c r="J36" t="s">
        <v>238</v>
      </c>
      <c r="K36">
        <v>24</v>
      </c>
      <c r="L36" t="s">
        <v>80</v>
      </c>
      <c r="M36" s="407"/>
      <c r="N36" s="407"/>
      <c r="O36" s="407"/>
      <c r="P36" s="407"/>
      <c r="Q36" s="407"/>
      <c r="R36" s="407"/>
      <c r="V36" t="s">
        <v>464</v>
      </c>
      <c r="W36" s="1">
        <f>B2</f>
        <v>0.124</v>
      </c>
      <c r="Y36" t="s">
        <v>464</v>
      </c>
      <c r="Z36" s="1">
        <f>B2</f>
        <v>0.124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 t="s">
        <v>179</v>
      </c>
      <c r="BK36" s="429" t="s">
        <v>405</v>
      </c>
      <c r="BL36" s="429"/>
      <c r="BM36" s="429"/>
      <c r="BN36" s="429"/>
      <c r="BO36" s="429"/>
      <c r="BZ36">
        <v>1000</v>
      </c>
      <c r="CA36" t="s">
        <v>50</v>
      </c>
      <c r="CH36" s="429"/>
      <c r="CI36" s="429"/>
      <c r="CJ36" s="429"/>
      <c r="CK36" s="429"/>
      <c r="CL36" s="429"/>
      <c r="CT36" t="s">
        <v>382</v>
      </c>
      <c r="CU36">
        <v>24</v>
      </c>
      <c r="CV36" t="s">
        <v>80</v>
      </c>
      <c r="CZ36" t="s">
        <v>247</v>
      </c>
      <c r="DA36">
        <v>350</v>
      </c>
      <c r="DB36" t="s">
        <v>245</v>
      </c>
      <c r="DS36" s="1"/>
      <c r="DY36" s="414"/>
      <c r="EH36" s="1"/>
      <c r="HD36" t="s">
        <v>171</v>
      </c>
      <c r="HE36" s="4">
        <v>5</v>
      </c>
      <c r="HF36" t="s">
        <v>172</v>
      </c>
    </row>
    <row r="37" spans="1:214" x14ac:dyDescent="0.2">
      <c r="A37" t="s">
        <v>419</v>
      </c>
      <c r="B37" s="410">
        <v>0</v>
      </c>
      <c r="D37" t="s">
        <v>162</v>
      </c>
      <c r="E37">
        <f>B55</f>
        <v>28.5</v>
      </c>
      <c r="F37" t="s">
        <v>90</v>
      </c>
      <c r="G37" t="s">
        <v>168</v>
      </c>
      <c r="H37">
        <v>24</v>
      </c>
      <c r="I37" t="s">
        <v>80</v>
      </c>
      <c r="J37" t="s">
        <v>239</v>
      </c>
      <c r="K37">
        <v>24</v>
      </c>
      <c r="L37" t="s">
        <v>80</v>
      </c>
      <c r="V37" t="s">
        <v>452</v>
      </c>
      <c r="W37" s="1">
        <f>W26/((W32/W33)*W29*W30*W31*W34)</f>
        <v>1.5384615384615385E-2</v>
      </c>
      <c r="X37" t="s">
        <v>36</v>
      </c>
      <c r="Y37" t="s">
        <v>452</v>
      </c>
      <c r="Z37" s="1">
        <f>(Z26*Z30*Z27)/((1-EXP(-Z27))*Z30*Z31*Z29*Z43*(Z32/Z33)*Z34)</f>
        <v>1.538794735589398E-2</v>
      </c>
      <c r="AA37" t="s">
        <v>37</v>
      </c>
      <c r="AB37" t="s">
        <v>451</v>
      </c>
      <c r="AC37" s="1">
        <f>(AC5/(AC9*AC16*AC8*AC11*(1/AC6)))*AC35</f>
        <v>38.67014742968562</v>
      </c>
      <c r="AD37" s="1">
        <f>(AD5/(AD9*AD16*AD8*AD11*(1/AD6)))*AD35</f>
        <v>77.340294859371241</v>
      </c>
      <c r="AE37" s="1">
        <f>(AE5/(AE9*AE16*AE8*AE11*(1/AE6)))*AE35</f>
        <v>42.966830477428466</v>
      </c>
      <c r="AF37" s="1">
        <f>(AF5/(AF9*AF16*AF8*AF11*(1/AF6)))*AF35</f>
        <v>11.65753587567726</v>
      </c>
      <c r="AG37" s="1">
        <f>(AG5/(AG9*AG16*AG8*AG11*(1/AG6)))*AG35</f>
        <v>11.65753587567726</v>
      </c>
      <c r="BK37" s="429"/>
      <c r="BL37" s="429"/>
      <c r="BM37" s="429"/>
      <c r="BN37" s="429"/>
      <c r="BO37" s="429"/>
      <c r="BY37" t="s">
        <v>435</v>
      </c>
      <c r="BZ37">
        <f>BZ27/BZ25</f>
        <v>1</v>
      </c>
      <c r="CH37" s="429"/>
      <c r="CI37" s="429"/>
      <c r="CJ37" s="429"/>
      <c r="CK37" s="429"/>
      <c r="CL37" s="429"/>
      <c r="CT37" t="s">
        <v>239</v>
      </c>
      <c r="CU37">
        <v>24</v>
      </c>
      <c r="CV37" t="s">
        <v>80</v>
      </c>
      <c r="CZ37" t="s">
        <v>227</v>
      </c>
      <c r="DA37">
        <v>1</v>
      </c>
      <c r="DB37" t="s">
        <v>119</v>
      </c>
      <c r="DS37" s="1"/>
      <c r="DY37" s="413"/>
      <c r="EH37" s="1"/>
      <c r="HD37" t="s">
        <v>175</v>
      </c>
      <c r="HE37" s="4">
        <f>(0.0112*HE39*HE39)^0.5+HE40*(1-EXP((-HE38*HE39)/(HE35*HE36*HE40)))</f>
        <v>6.2013772096432787</v>
      </c>
      <c r="HF37" t="s">
        <v>176</v>
      </c>
    </row>
    <row r="38" spans="1:214" x14ac:dyDescent="0.2">
      <c r="A38" t="s">
        <v>319</v>
      </c>
      <c r="B38" s="410">
        <v>0</v>
      </c>
      <c r="D38" t="s">
        <v>451</v>
      </c>
      <c r="E38" s="1">
        <f>E33/(E35*E34*E36*E37)</f>
        <v>3.7074935860360965E-3</v>
      </c>
      <c r="F38" t="s">
        <v>22</v>
      </c>
      <c r="G38" t="s">
        <v>151</v>
      </c>
      <c r="H38">
        <v>1</v>
      </c>
      <c r="I38" t="s">
        <v>152</v>
      </c>
      <c r="J38" t="s">
        <v>369</v>
      </c>
      <c r="K38">
        <v>0.25</v>
      </c>
      <c r="V38" t="s">
        <v>477</v>
      </c>
      <c r="W38" s="1" t="e">
        <f>(W26)/((W32/W33)*W29*W30*W35*(1/365))</f>
        <v>#DIV/0!</v>
      </c>
      <c r="X38" t="s">
        <v>36</v>
      </c>
      <c r="Y38" t="s">
        <v>477</v>
      </c>
      <c r="Z38" s="1" t="e">
        <f>(Z26*Z30*Z27)/((1-EXP(-Z27*Z30))*Z35*Z29*Z43*(Z32/Z33)*Z36*(Z43/Z44))</f>
        <v>#DIV/0!</v>
      </c>
      <c r="AA38" t="s">
        <v>37</v>
      </c>
      <c r="AB38" t="s">
        <v>452</v>
      </c>
      <c r="AC38" s="1">
        <f>(AC5/(AC24*AC20*AC8*AC11*(1/AC40)*((8/1)/(24/1))*AC36))*AC35</f>
        <v>21026.420480448982</v>
      </c>
      <c r="AD38" s="1">
        <f>(AD5/(AD24*AD20*AD8*((8/1)/(24/1))*AD11*(1/AD40)*AD36))*AD35</f>
        <v>21026.420480448982</v>
      </c>
      <c r="AE38" s="1">
        <f>(AE5/(AE24*AE20*AE8*((8/1)/(24/1))*AE11*(1/AE40)*AE36))*AE35</f>
        <v>23362.689422721091</v>
      </c>
      <c r="AF38" s="1">
        <f>(AF5/(AF24*AF20*AF8*AF11*(1/AF41)*AF28*AF19*AF36))*AF35</f>
        <v>96.31482636001661</v>
      </c>
      <c r="AG38" s="1">
        <v>432</v>
      </c>
      <c r="BK38" s="429"/>
      <c r="BL38" s="429"/>
      <c r="BM38" s="429"/>
      <c r="BN38" s="429"/>
      <c r="BO38" s="429"/>
      <c r="BY38" t="s">
        <v>434</v>
      </c>
      <c r="BZ38">
        <f>BZ26/BZ25</f>
        <v>1</v>
      </c>
      <c r="CT38" t="s">
        <v>383</v>
      </c>
      <c r="CU38">
        <v>1</v>
      </c>
      <c r="CZ38" t="s">
        <v>228</v>
      </c>
      <c r="DA38">
        <v>1</v>
      </c>
      <c r="DB38" t="s">
        <v>119</v>
      </c>
      <c r="DY38" s="413"/>
      <c r="HD38" t="s">
        <v>178</v>
      </c>
      <c r="HE38" s="4">
        <v>0.18</v>
      </c>
      <c r="HF38" t="s">
        <v>170</v>
      </c>
    </row>
    <row r="39" spans="1:214" ht="13.5" thickBot="1" x14ac:dyDescent="0.25">
      <c r="A39" t="s">
        <v>420</v>
      </c>
      <c r="B39" s="410">
        <v>0</v>
      </c>
      <c r="G39" t="s">
        <v>153</v>
      </c>
      <c r="H39">
        <v>1</v>
      </c>
      <c r="I39" t="s">
        <v>152</v>
      </c>
      <c r="J39" t="s">
        <v>155</v>
      </c>
      <c r="K39">
        <v>1.752</v>
      </c>
      <c r="L39" t="s">
        <v>117</v>
      </c>
      <c r="V39" t="s">
        <v>452</v>
      </c>
      <c r="W39" s="1">
        <f>(W26*W27*W30)/((W32/W33)*(1-EXP(-W27*W30))*W31*W34*W29*W30)</f>
        <v>1.538794735589398E-2</v>
      </c>
      <c r="X39" t="s">
        <v>37</v>
      </c>
      <c r="Y39" t="s">
        <v>452</v>
      </c>
      <c r="Z39" s="1">
        <f>Z26/((Z31*Z29*Z43*(Z32/Z33)*Z34))</f>
        <v>1.5384615384615385E-2</v>
      </c>
      <c r="AA39" t="s">
        <v>36</v>
      </c>
      <c r="AB39" t="s">
        <v>453</v>
      </c>
      <c r="AC39" s="1">
        <f>(AC5/(AC23*AC22*AC29*AC19*AC8*(1/AC34)*AC11))*AC35</f>
        <v>4.2302940287043809</v>
      </c>
      <c r="AD39" s="1">
        <f>(AD5/(AD23*AD22*AD29*AD21*AD8*(1/AD34)*AD11))*AD35</f>
        <v>1.3113911488983581</v>
      </c>
      <c r="AE39" s="1">
        <f>(AE5/(AE23*AE22*AE29*AE19*AE8*(1/AE34)*AE11))*AE35</f>
        <v>4.7003266985604233</v>
      </c>
      <c r="AF39" s="1">
        <f>(AF5/(AF23*AF22*(AF28+AF29*AF21)*AF8*(1/AF34)*AF11))*AF35</f>
        <v>0.37274263969062388</v>
      </c>
      <c r="AG39" s="1">
        <f>(AG5/(AG24*AG20*AG8*AG11*(1/AG42)*(AG28+(AG29*AG30))*AG36))*AG35</f>
        <v>764.53440061148331</v>
      </c>
      <c r="BK39" s="429"/>
      <c r="BL39" s="429"/>
      <c r="BM39" s="429"/>
      <c r="BN39" s="429"/>
      <c r="BO39" s="429"/>
      <c r="BT39" s="7"/>
      <c r="BU39" s="2"/>
      <c r="CT39" t="s">
        <v>155</v>
      </c>
      <c r="CU39">
        <v>12.167999999999999</v>
      </c>
      <c r="CV39" t="s">
        <v>117</v>
      </c>
      <c r="CZ39" t="s">
        <v>229</v>
      </c>
      <c r="DA39">
        <v>1</v>
      </c>
      <c r="DB39" t="s">
        <v>119</v>
      </c>
      <c r="DY39" s="413"/>
      <c r="HD39" t="s">
        <v>180</v>
      </c>
      <c r="HE39" s="4">
        <v>55</v>
      </c>
      <c r="HF39" t="s">
        <v>176</v>
      </c>
    </row>
    <row r="40" spans="1:214" ht="15" customHeight="1" thickTop="1" x14ac:dyDescent="0.2">
      <c r="A40" t="s">
        <v>396</v>
      </c>
      <c r="B40" s="410">
        <f>B36</f>
        <v>1E-3</v>
      </c>
      <c r="D40" s="104" t="s">
        <v>3</v>
      </c>
      <c r="E40" s="104"/>
      <c r="F40" s="105" t="s">
        <v>0</v>
      </c>
      <c r="H40">
        <f>1/1000</f>
        <v>1E-3</v>
      </c>
      <c r="I40" t="s">
        <v>154</v>
      </c>
      <c r="J40" t="s">
        <v>158</v>
      </c>
      <c r="K40">
        <v>16.416</v>
      </c>
      <c r="L40" t="s">
        <v>117</v>
      </c>
      <c r="V40" t="s">
        <v>477</v>
      </c>
      <c r="W40" s="1" t="e">
        <f>(W26*W27*W30)/((W32/W33)*(1-EXP(-W27*W30))*W35*W29*W30*(1/365))</f>
        <v>#DIV/0!</v>
      </c>
      <c r="X40" t="s">
        <v>37</v>
      </c>
      <c r="Y40" t="s">
        <v>477</v>
      </c>
      <c r="Z40" s="1" t="e">
        <f>Z26/(Z35*Z29*(1/Z44)*Z43*(Z32/Z33)*Z36)</f>
        <v>#DIV/0!</v>
      </c>
      <c r="AA40" t="s">
        <v>36</v>
      </c>
      <c r="AB40" t="s">
        <v>148</v>
      </c>
      <c r="AC40" s="1">
        <f>B30</f>
        <v>1359344473.5814338</v>
      </c>
      <c r="AD40" s="1">
        <f>B30</f>
        <v>1359344473.5814338</v>
      </c>
      <c r="AE40" s="1">
        <f>B30</f>
        <v>1359344473.5814338</v>
      </c>
      <c r="AG40" s="1">
        <f>(AG5/(AG23*AG22*(AG28+AG29*AG21)*AG8*(1/AG34)*AG11))*AG35</f>
        <v>0.37274263969062388</v>
      </c>
      <c r="BT40" s="7"/>
      <c r="BU40" s="2"/>
      <c r="CT40" t="s">
        <v>158</v>
      </c>
      <c r="CU40">
        <v>10.007999999999999</v>
      </c>
      <c r="CV40" t="s">
        <v>117</v>
      </c>
      <c r="CZ40" t="s">
        <v>409</v>
      </c>
      <c r="DA40">
        <v>24</v>
      </c>
      <c r="DB40" t="s">
        <v>80</v>
      </c>
      <c r="DY40" s="413"/>
      <c r="HD40" t="s">
        <v>181</v>
      </c>
      <c r="HE40" s="4">
        <v>5</v>
      </c>
      <c r="HF40" t="s">
        <v>176</v>
      </c>
    </row>
    <row r="41" spans="1:214" ht="14.25" x14ac:dyDescent="0.2">
      <c r="A41" t="s">
        <v>395</v>
      </c>
      <c r="B41" s="410">
        <f>B37</f>
        <v>0</v>
      </c>
      <c r="D41" s="107" t="s">
        <v>150</v>
      </c>
      <c r="E41" s="107" t="s">
        <v>456</v>
      </c>
      <c r="F41" s="108" t="s">
        <v>24</v>
      </c>
      <c r="H41">
        <v>1000</v>
      </c>
      <c r="I41" t="s">
        <v>157</v>
      </c>
      <c r="J41" t="s">
        <v>161</v>
      </c>
      <c r="K41">
        <v>0.4</v>
      </c>
      <c r="Y41" t="s">
        <v>378</v>
      </c>
      <c r="Z41">
        <v>50</v>
      </c>
      <c r="AA41" t="s">
        <v>194</v>
      </c>
      <c r="AB41" s="5" t="s">
        <v>184</v>
      </c>
      <c r="AF41" s="6">
        <f>B31</f>
        <v>776129.4078035407</v>
      </c>
      <c r="AH41" s="5" t="s">
        <v>149</v>
      </c>
      <c r="BT41" s="1"/>
      <c r="CT41" t="s">
        <v>161</v>
      </c>
      <c r="CU41">
        <v>0.4</v>
      </c>
      <c r="CZ41" t="s">
        <v>410</v>
      </c>
      <c r="DA41">
        <v>24</v>
      </c>
      <c r="DB41" t="s">
        <v>80</v>
      </c>
      <c r="DY41" s="413"/>
      <c r="HD41" t="s">
        <v>182</v>
      </c>
      <c r="HE41" s="4">
        <v>5</v>
      </c>
      <c r="HF41" t="s">
        <v>176</v>
      </c>
    </row>
    <row r="42" spans="1:214" ht="13.9" customHeight="1" x14ac:dyDescent="0.2">
      <c r="A42" t="s">
        <v>63</v>
      </c>
      <c r="B42" s="410">
        <v>0.04</v>
      </c>
      <c r="D42" s="107" t="s">
        <v>177</v>
      </c>
      <c r="E42" s="109">
        <f>E52</f>
        <v>7.4149871720721933E-2</v>
      </c>
      <c r="F42" s="110"/>
      <c r="H42">
        <v>1000</v>
      </c>
      <c r="I42" t="s">
        <v>376</v>
      </c>
      <c r="J42" t="s">
        <v>466</v>
      </c>
      <c r="K42">
        <v>0.4</v>
      </c>
      <c r="Y42" t="s">
        <v>377</v>
      </c>
      <c r="Z42">
        <v>5</v>
      </c>
      <c r="AA42" t="s">
        <v>297</v>
      </c>
      <c r="AB42" s="5" t="s">
        <v>185</v>
      </c>
      <c r="AF42" s="5"/>
      <c r="AG42" s="6">
        <f>B32</f>
        <v>69557565.807898715</v>
      </c>
      <c r="AH42" s="5"/>
      <c r="AI42" s="5"/>
      <c r="AJ42" s="5"/>
      <c r="AK42" s="5"/>
      <c r="CT42" t="s">
        <v>466</v>
      </c>
      <c r="CU42">
        <v>0.4</v>
      </c>
      <c r="CZ42" t="s">
        <v>151</v>
      </c>
      <c r="DA42">
        <v>1</v>
      </c>
      <c r="DB42" t="s">
        <v>248</v>
      </c>
    </row>
    <row r="43" spans="1:214" ht="13.15" customHeight="1" thickBot="1" x14ac:dyDescent="0.25">
      <c r="A43" t="s">
        <v>64</v>
      </c>
      <c r="B43" s="410">
        <v>0.2</v>
      </c>
      <c r="D43" s="419" t="s">
        <v>10</v>
      </c>
      <c r="E43" s="112" t="s">
        <v>33</v>
      </c>
      <c r="F43" s="113"/>
      <c r="G43" t="s">
        <v>369</v>
      </c>
      <c r="H43">
        <v>0.25</v>
      </c>
      <c r="J43" t="s">
        <v>465</v>
      </c>
      <c r="K43" s="1">
        <f>B2</f>
        <v>0.124</v>
      </c>
      <c r="Y43" t="s">
        <v>298</v>
      </c>
      <c r="Z43">
        <v>1</v>
      </c>
      <c r="AA43" t="s">
        <v>253</v>
      </c>
      <c r="AF43" s="429" t="s">
        <v>392</v>
      </c>
      <c r="AG43" s="429"/>
      <c r="AH43" s="429"/>
      <c r="AI43" s="5"/>
      <c r="AJ43" s="5"/>
      <c r="AK43" s="5"/>
      <c r="BT43" s="1"/>
      <c r="CT43" t="s">
        <v>465</v>
      </c>
      <c r="CU43" s="1">
        <f>B2</f>
        <v>0.124</v>
      </c>
      <c r="CZ43" t="s">
        <v>153</v>
      </c>
      <c r="DA43">
        <v>1</v>
      </c>
      <c r="DB43" t="s">
        <v>248</v>
      </c>
    </row>
    <row r="44" spans="1:214" ht="13.5" thickTop="1" x14ac:dyDescent="0.2">
      <c r="D44" t="s">
        <v>485</v>
      </c>
      <c r="E44" s="1">
        <v>1</v>
      </c>
      <c r="H44">
        <v>365</v>
      </c>
      <c r="I44" t="s">
        <v>52</v>
      </c>
      <c r="J44" t="s">
        <v>105</v>
      </c>
      <c r="K44" s="1">
        <f>B3</f>
        <v>0.79200000000000004</v>
      </c>
      <c r="Z44">
        <v>365</v>
      </c>
      <c r="AA44" t="s">
        <v>145</v>
      </c>
      <c r="AF44" s="429"/>
      <c r="AG44" s="429"/>
      <c r="AH44" s="429"/>
      <c r="CT44" t="s">
        <v>105</v>
      </c>
      <c r="CU44" s="1">
        <f>B3</f>
        <v>0.79200000000000004</v>
      </c>
      <c r="CZ44" t="s">
        <v>249</v>
      </c>
      <c r="DA44">
        <v>0.54</v>
      </c>
      <c r="DB44" t="s">
        <v>251</v>
      </c>
    </row>
    <row r="45" spans="1:214" ht="12.75" customHeight="1" x14ac:dyDescent="0.2">
      <c r="A45" t="s">
        <v>87</v>
      </c>
      <c r="B45" s="411">
        <v>10</v>
      </c>
      <c r="C45" t="s">
        <v>78</v>
      </c>
      <c r="D45" t="s">
        <v>51</v>
      </c>
      <c r="E45">
        <v>350</v>
      </c>
      <c r="F45" t="s">
        <v>52</v>
      </c>
      <c r="H45">
        <v>8760</v>
      </c>
      <c r="I45" t="s">
        <v>237</v>
      </c>
      <c r="J45" t="s">
        <v>169</v>
      </c>
      <c r="K45">
        <v>26</v>
      </c>
      <c r="L45" t="s">
        <v>88</v>
      </c>
      <c r="AB45" s="5"/>
      <c r="AC45" s="5"/>
      <c r="AF45" s="429"/>
      <c r="AG45" s="429"/>
      <c r="AH45" s="429"/>
      <c r="AI45" s="5"/>
      <c r="AJ45" s="5"/>
      <c r="AK45" s="5"/>
      <c r="CT45" t="s">
        <v>299</v>
      </c>
      <c r="CU45">
        <v>40</v>
      </c>
      <c r="CV45" t="s">
        <v>88</v>
      </c>
      <c r="CZ45" t="s">
        <v>250</v>
      </c>
      <c r="DA45">
        <v>0.71</v>
      </c>
      <c r="DB45" t="s">
        <v>251</v>
      </c>
    </row>
    <row r="46" spans="1:214" x14ac:dyDescent="0.2">
      <c r="A46" t="s">
        <v>95</v>
      </c>
      <c r="B46" s="411">
        <v>20</v>
      </c>
      <c r="C46" t="s">
        <v>78</v>
      </c>
      <c r="D46" t="s">
        <v>447</v>
      </c>
      <c r="E46" s="1">
        <f>B28</f>
        <v>1.0399999999999999E-3</v>
      </c>
      <c r="F46" t="s">
        <v>160</v>
      </c>
      <c r="G46" t="s">
        <v>46</v>
      </c>
      <c r="H46">
        <f>H48</f>
        <v>1E-3</v>
      </c>
      <c r="K46">
        <v>365</v>
      </c>
      <c r="L46" t="s">
        <v>173</v>
      </c>
      <c r="AB46" s="5"/>
      <c r="AC46" s="9"/>
      <c r="AI46" s="5"/>
      <c r="AJ46" s="5"/>
      <c r="AK46" s="5"/>
      <c r="CU46">
        <v>365</v>
      </c>
      <c r="CV46" t="s">
        <v>173</v>
      </c>
      <c r="DA46">
        <v>365</v>
      </c>
      <c r="DB46" t="s">
        <v>245</v>
      </c>
    </row>
    <row r="47" spans="1:214" ht="15" x14ac:dyDescent="0.2">
      <c r="A47" t="s">
        <v>96</v>
      </c>
      <c r="B47" s="411">
        <v>60</v>
      </c>
      <c r="C47" t="s">
        <v>78</v>
      </c>
      <c r="D47" t="s">
        <v>65</v>
      </c>
      <c r="E47">
        <v>26</v>
      </c>
      <c r="F47" t="s">
        <v>119</v>
      </c>
      <c r="G47" t="s">
        <v>54</v>
      </c>
      <c r="H47">
        <f>H49</f>
        <v>0.26</v>
      </c>
      <c r="K47">
        <v>1000</v>
      </c>
      <c r="L47" t="s">
        <v>179</v>
      </c>
      <c r="W47" s="7"/>
      <c r="X47" s="2"/>
      <c r="Y47" s="2"/>
      <c r="Z47" s="2"/>
      <c r="AA47" s="2"/>
      <c r="AB47" s="5"/>
      <c r="AC47" s="5"/>
      <c r="AD47" s="5"/>
      <c r="AI47" s="5"/>
      <c r="AJ47" s="5"/>
      <c r="AK47" s="5"/>
      <c r="CU47">
        <v>1000</v>
      </c>
      <c r="CV47" t="s">
        <v>179</v>
      </c>
      <c r="CZ47" t="s">
        <v>131</v>
      </c>
      <c r="DA47">
        <v>0.5</v>
      </c>
      <c r="DB47" t="s">
        <v>252</v>
      </c>
    </row>
    <row r="48" spans="1:214" x14ac:dyDescent="0.2">
      <c r="A48" t="s">
        <v>108</v>
      </c>
      <c r="B48" s="411">
        <v>200</v>
      </c>
      <c r="C48" t="s">
        <v>90</v>
      </c>
      <c r="D48" t="s">
        <v>162</v>
      </c>
      <c r="E48">
        <f>B55</f>
        <v>28.5</v>
      </c>
      <c r="F48" t="s">
        <v>90</v>
      </c>
      <c r="G48" t="s">
        <v>63</v>
      </c>
      <c r="H48">
        <f>B40</f>
        <v>1E-3</v>
      </c>
      <c r="K48">
        <v>1000</v>
      </c>
      <c r="L48" t="s">
        <v>50</v>
      </c>
      <c r="W48" s="7"/>
      <c r="X48" s="2"/>
      <c r="Y48" s="2"/>
      <c r="Z48" s="2"/>
      <c r="AA48" s="2"/>
      <c r="AB48" s="5"/>
      <c r="AC48" s="5"/>
      <c r="AF48" s="8"/>
      <c r="AG48" s="5"/>
      <c r="AH48" s="5"/>
      <c r="AI48" s="5"/>
      <c r="AJ48" s="5"/>
      <c r="AK48" s="5"/>
      <c r="CU48">
        <v>1000</v>
      </c>
      <c r="CV48" t="s">
        <v>50</v>
      </c>
      <c r="DA48">
        <v>1</v>
      </c>
      <c r="DB48" t="s">
        <v>253</v>
      </c>
    </row>
    <row r="49" spans="1:106" x14ac:dyDescent="0.2">
      <c r="A49" t="s">
        <v>127</v>
      </c>
      <c r="B49" s="411">
        <v>100</v>
      </c>
      <c r="C49" t="s">
        <v>90</v>
      </c>
      <c r="E49">
        <v>1000</v>
      </c>
      <c r="F49" t="s">
        <v>179</v>
      </c>
      <c r="G49" t="s">
        <v>70</v>
      </c>
      <c r="H49">
        <v>0.26</v>
      </c>
      <c r="J49" t="s">
        <v>46</v>
      </c>
      <c r="K49">
        <f>K51</f>
        <v>1E-3</v>
      </c>
      <c r="W49" s="1"/>
      <c r="AB49" s="5"/>
      <c r="AC49" s="5"/>
      <c r="AF49" s="8"/>
      <c r="AG49" s="5"/>
      <c r="AH49" s="5"/>
      <c r="AI49" s="5"/>
      <c r="AJ49" s="5"/>
      <c r="AK49" s="5"/>
      <c r="BT49" s="1"/>
      <c r="CT49" t="s">
        <v>433</v>
      </c>
      <c r="CU49" s="1">
        <f>B61</f>
        <v>0.15</v>
      </c>
      <c r="DA49">
        <v>8760</v>
      </c>
      <c r="DB49" t="s">
        <v>237</v>
      </c>
    </row>
    <row r="50" spans="1:106" x14ac:dyDescent="0.2">
      <c r="A50" t="s">
        <v>414</v>
      </c>
      <c r="B50" s="411">
        <v>0.78</v>
      </c>
      <c r="D50" t="s">
        <v>186</v>
      </c>
      <c r="E50">
        <f>B34</f>
        <v>50</v>
      </c>
      <c r="F50" t="s">
        <v>45</v>
      </c>
      <c r="G50" t="s">
        <v>44</v>
      </c>
      <c r="H50" s="1">
        <f>(H53*H54*H55*((1-EXP(-H56*H57))))/(H58*H56)</f>
        <v>3.5526527193007473E-2</v>
      </c>
      <c r="I50" t="s">
        <v>45</v>
      </c>
      <c r="J50" t="s">
        <v>54</v>
      </c>
      <c r="K50">
        <f>K52</f>
        <v>0.26</v>
      </c>
      <c r="W50" s="1"/>
      <c r="AB50" s="5"/>
      <c r="AC50" s="5"/>
      <c r="AF50" s="8"/>
      <c r="AG50" s="5"/>
      <c r="AH50" s="5"/>
      <c r="AI50" s="5"/>
      <c r="AJ50" s="5"/>
      <c r="AK50" s="5"/>
      <c r="BW50" s="1"/>
      <c r="CT50" t="s">
        <v>432</v>
      </c>
      <c r="CU50" s="1">
        <f>B62</f>
        <v>0.85</v>
      </c>
      <c r="DA50">
        <v>1000</v>
      </c>
      <c r="DB50" t="s">
        <v>179</v>
      </c>
    </row>
    <row r="51" spans="1:106" x14ac:dyDescent="0.2">
      <c r="A51" t="s">
        <v>415</v>
      </c>
      <c r="B51" s="411">
        <v>2.5</v>
      </c>
      <c r="D51" t="s">
        <v>188</v>
      </c>
      <c r="E51">
        <v>1</v>
      </c>
      <c r="F51" t="s">
        <v>189</v>
      </c>
      <c r="G51" t="s">
        <v>53</v>
      </c>
      <c r="H51" s="1">
        <f>(H53*H54*H59*((1-EXP(-H56*H57))))/(H58*H56)</f>
        <v>9.2368970701819411</v>
      </c>
      <c r="I51" t="s">
        <v>45</v>
      </c>
      <c r="J51" t="s">
        <v>63</v>
      </c>
      <c r="K51">
        <f>B40</f>
        <v>1E-3</v>
      </c>
      <c r="AB51" s="5"/>
      <c r="AC51" s="5"/>
      <c r="AF51" s="8"/>
      <c r="AG51" s="5"/>
      <c r="BW51" s="1"/>
      <c r="CZ51" t="s">
        <v>433</v>
      </c>
      <c r="DA51" s="1">
        <f>B61</f>
        <v>0.15</v>
      </c>
    </row>
    <row r="52" spans="1:106" x14ac:dyDescent="0.2">
      <c r="A52" t="s">
        <v>374</v>
      </c>
      <c r="B52" s="410">
        <v>14.8</v>
      </c>
      <c r="C52" t="s">
        <v>380</v>
      </c>
      <c r="D52" t="s">
        <v>451</v>
      </c>
      <c r="E52" s="1">
        <f>E44/(E46*E45*E47*E48*E50*E51*(1/E49))</f>
        <v>7.4149871720721933E-2</v>
      </c>
      <c r="G52" t="s">
        <v>62</v>
      </c>
      <c r="H52" s="1">
        <f>(H53*H54*H60*H66*((1-EXP(-H61*H62))))/(H63*H61)</f>
        <v>3.6423470278489711</v>
      </c>
      <c r="I52" t="s">
        <v>45</v>
      </c>
      <c r="J52" t="s">
        <v>70</v>
      </c>
      <c r="K52">
        <v>0.26</v>
      </c>
      <c r="AB52" s="5"/>
      <c r="AC52" s="5"/>
      <c r="AF52" s="8"/>
      <c r="AG52" s="5"/>
      <c r="BW52" s="1"/>
      <c r="CZ52" t="s">
        <v>432</v>
      </c>
      <c r="DA52" s="1">
        <f>B62</f>
        <v>0.85</v>
      </c>
    </row>
    <row r="53" spans="1:106" x14ac:dyDescent="0.2">
      <c r="A53" t="s">
        <v>375</v>
      </c>
      <c r="B53" s="410">
        <v>56.2</v>
      </c>
      <c r="C53" t="s">
        <v>380</v>
      </c>
      <c r="G53" t="s">
        <v>68</v>
      </c>
      <c r="H53">
        <v>3.62</v>
      </c>
      <c r="I53" t="s">
        <v>69</v>
      </c>
      <c r="J53" t="s">
        <v>435</v>
      </c>
      <c r="K53" s="1">
        <f>B59</f>
        <v>0.23076923076923078</v>
      </c>
      <c r="W53" s="1"/>
      <c r="AB53" s="5"/>
      <c r="AC53" s="5"/>
      <c r="AF53" s="8"/>
      <c r="AG53" s="5"/>
    </row>
    <row r="54" spans="1:106" x14ac:dyDescent="0.2">
      <c r="A54" t="s">
        <v>370</v>
      </c>
      <c r="B54" s="410">
        <v>10.4</v>
      </c>
      <c r="C54" t="s">
        <v>380</v>
      </c>
      <c r="G54" t="s">
        <v>74</v>
      </c>
      <c r="H54">
        <v>0.25</v>
      </c>
      <c r="I54" t="s">
        <v>75</v>
      </c>
      <c r="J54" t="s">
        <v>434</v>
      </c>
      <c r="K54" s="1">
        <f>B60</f>
        <v>0.76923076923076927</v>
      </c>
      <c r="AB54" s="5"/>
      <c r="AC54" s="5"/>
      <c r="AF54" s="8"/>
      <c r="AG54" s="5"/>
    </row>
    <row r="55" spans="1:106" x14ac:dyDescent="0.2">
      <c r="A55" t="s">
        <v>371</v>
      </c>
      <c r="B55" s="410">
        <v>28.5</v>
      </c>
      <c r="C55" t="s">
        <v>380</v>
      </c>
      <c r="G55" t="s">
        <v>63</v>
      </c>
      <c r="H55">
        <f>B40</f>
        <v>1E-3</v>
      </c>
      <c r="AB55" s="5"/>
      <c r="AC55" s="5"/>
      <c r="AD55" s="5"/>
      <c r="AF55" s="8"/>
      <c r="AG55" s="5"/>
      <c r="AH55" s="5"/>
      <c r="AI55" s="5"/>
      <c r="AJ55" s="5"/>
      <c r="AK55" s="5"/>
    </row>
    <row r="56" spans="1:106" x14ac:dyDescent="0.2">
      <c r="A56" t="s">
        <v>162</v>
      </c>
      <c r="B56" s="411">
        <v>54</v>
      </c>
      <c r="C56" t="s">
        <v>90</v>
      </c>
      <c r="G56" t="s">
        <v>92</v>
      </c>
      <c r="H56">
        <f>H64+H65</f>
        <v>2.8186643835616437E-5</v>
      </c>
      <c r="AB56" s="5"/>
      <c r="AC56" s="5"/>
      <c r="AD56" s="5"/>
      <c r="AF56" s="8"/>
      <c r="AG56" s="5"/>
      <c r="AH56" s="5"/>
      <c r="AI56" s="5"/>
      <c r="AJ56" s="5"/>
      <c r="AK56" s="5"/>
    </row>
    <row r="57" spans="1:106" x14ac:dyDescent="0.2">
      <c r="A57" t="s">
        <v>254</v>
      </c>
      <c r="B57" s="411">
        <v>256</v>
      </c>
      <c r="C57" t="s">
        <v>380</v>
      </c>
      <c r="G57" t="s">
        <v>101</v>
      </c>
      <c r="H57">
        <v>10950</v>
      </c>
      <c r="I57" t="s">
        <v>102</v>
      </c>
      <c r="AB57" s="5"/>
      <c r="AC57" s="5"/>
      <c r="AD57" s="5"/>
      <c r="AF57" s="8"/>
      <c r="AG57" s="5"/>
      <c r="AH57" s="5"/>
      <c r="AI57" s="5"/>
      <c r="AJ57" s="5"/>
      <c r="AK57" s="5"/>
    </row>
    <row r="58" spans="1:106" x14ac:dyDescent="0.2">
      <c r="A58" t="s">
        <v>255</v>
      </c>
      <c r="B58" s="411">
        <v>615</v>
      </c>
      <c r="C58" t="s">
        <v>380</v>
      </c>
      <c r="G58" t="s">
        <v>110</v>
      </c>
      <c r="H58">
        <v>240</v>
      </c>
      <c r="I58" t="s">
        <v>111</v>
      </c>
      <c r="AB58" s="5"/>
      <c r="AC58" s="5"/>
      <c r="AF58" s="8"/>
      <c r="AG58" s="5"/>
      <c r="AH58" s="5"/>
      <c r="AI58" s="5"/>
      <c r="AJ58" s="5"/>
      <c r="AK58" s="5"/>
    </row>
    <row r="59" spans="1:106" x14ac:dyDescent="0.2">
      <c r="A59" t="s">
        <v>435</v>
      </c>
      <c r="B59" s="410">
        <f>6/26</f>
        <v>0.23076923076923078</v>
      </c>
      <c r="G59" t="s">
        <v>120</v>
      </c>
      <c r="H59">
        <v>0.26</v>
      </c>
      <c r="AB59" s="5"/>
      <c r="AC59" s="5"/>
      <c r="AF59" s="5"/>
      <c r="AG59" s="5"/>
      <c r="AH59" s="5"/>
      <c r="AI59" s="5"/>
      <c r="AJ59" s="5"/>
      <c r="AK59" s="5"/>
    </row>
    <row r="60" spans="1:106" x14ac:dyDescent="0.2">
      <c r="A60" t="s">
        <v>434</v>
      </c>
      <c r="B60" s="410">
        <f>20/26</f>
        <v>0.76923076923076927</v>
      </c>
      <c r="G60" t="s">
        <v>125</v>
      </c>
      <c r="H60">
        <v>0.42</v>
      </c>
      <c r="I60" t="s">
        <v>75</v>
      </c>
      <c r="AB60" s="5"/>
      <c r="AC60" s="5"/>
      <c r="AF60" s="5"/>
      <c r="AG60" s="5"/>
      <c r="AH60" s="5"/>
      <c r="AI60" s="5"/>
      <c r="AJ60" s="5"/>
      <c r="AK60" s="5"/>
    </row>
    <row r="61" spans="1:106" x14ac:dyDescent="0.2">
      <c r="A61" t="s">
        <v>433</v>
      </c>
      <c r="B61" s="410">
        <f>6/40</f>
        <v>0.15</v>
      </c>
      <c r="G61" t="s">
        <v>129</v>
      </c>
      <c r="H61">
        <f>H65+(0.693/H67)</f>
        <v>4.9501186643835612E-2</v>
      </c>
      <c r="I61" t="s">
        <v>130</v>
      </c>
      <c r="AB61" s="5"/>
      <c r="AC61" s="5"/>
      <c r="AD61" s="5"/>
      <c r="AF61" s="5"/>
      <c r="AG61" s="5"/>
      <c r="AH61" s="5"/>
      <c r="AI61" s="5"/>
      <c r="AJ61" s="5"/>
      <c r="AK61" s="5"/>
      <c r="DA61" s="1"/>
    </row>
    <row r="62" spans="1:106" x14ac:dyDescent="0.2">
      <c r="A62" t="s">
        <v>432</v>
      </c>
      <c r="B62" s="410">
        <f>34/40</f>
        <v>0.85</v>
      </c>
      <c r="G62" t="s">
        <v>133</v>
      </c>
      <c r="H62">
        <v>60</v>
      </c>
      <c r="I62" t="s">
        <v>102</v>
      </c>
      <c r="AB62" s="5"/>
      <c r="AC62" s="5"/>
      <c r="AD62" s="5"/>
      <c r="AF62" s="8"/>
      <c r="AG62" s="5"/>
      <c r="AH62" s="5"/>
      <c r="AI62" s="5"/>
      <c r="AJ62" s="5"/>
      <c r="AK62" s="5"/>
    </row>
    <row r="63" spans="1:106" x14ac:dyDescent="0.2">
      <c r="G63" t="s">
        <v>135</v>
      </c>
      <c r="H63">
        <v>2</v>
      </c>
      <c r="I63" t="s">
        <v>111</v>
      </c>
      <c r="AB63" s="5"/>
      <c r="AC63" s="5"/>
      <c r="AD63" s="5"/>
      <c r="AF63" s="8"/>
      <c r="AG63" s="5"/>
      <c r="AH63" s="5"/>
      <c r="AI63" s="5"/>
      <c r="AJ63" s="5"/>
      <c r="AK63" s="5"/>
    </row>
    <row r="64" spans="1:106" x14ac:dyDescent="0.2">
      <c r="G64" t="s">
        <v>137</v>
      </c>
      <c r="H64">
        <v>2.6999999999999999E-5</v>
      </c>
      <c r="I64" t="s">
        <v>130</v>
      </c>
      <c r="AB64" s="5"/>
      <c r="AC64" s="5"/>
      <c r="AD64" s="5"/>
      <c r="AF64" s="8"/>
      <c r="AG64" s="5"/>
      <c r="AH64" s="5"/>
      <c r="AI64" s="5"/>
      <c r="AJ64" s="5"/>
      <c r="AK64" s="5"/>
    </row>
    <row r="65" spans="7:105" x14ac:dyDescent="0.2">
      <c r="G65" t="s">
        <v>138</v>
      </c>
      <c r="H65">
        <f>0.693/H69</f>
        <v>1.1866438356164383E-6</v>
      </c>
      <c r="I65" t="s">
        <v>130</v>
      </c>
      <c r="AB65" s="5"/>
      <c r="AC65" s="5"/>
      <c r="AD65" s="5"/>
      <c r="AF65" s="8"/>
      <c r="AG65" s="5"/>
      <c r="AH65" s="5"/>
      <c r="AI65" s="5"/>
      <c r="AJ65" s="5"/>
      <c r="AK65" s="5"/>
    </row>
    <row r="66" spans="7:105" x14ac:dyDescent="0.2">
      <c r="G66" t="s">
        <v>140</v>
      </c>
      <c r="H66">
        <v>1</v>
      </c>
      <c r="I66" t="s">
        <v>75</v>
      </c>
      <c r="AB66" s="5"/>
      <c r="AC66" s="5"/>
      <c r="AD66" s="5"/>
      <c r="AF66" s="8"/>
      <c r="AG66" s="5"/>
      <c r="AH66" s="5"/>
      <c r="AI66" s="5"/>
      <c r="AJ66" s="5"/>
      <c r="AK66" s="5"/>
      <c r="DA66" s="1"/>
    </row>
    <row r="67" spans="7:105" x14ac:dyDescent="0.2">
      <c r="G67" t="s">
        <v>144</v>
      </c>
      <c r="H67">
        <v>14</v>
      </c>
      <c r="I67" t="s">
        <v>145</v>
      </c>
      <c r="AB67" s="5"/>
      <c r="AC67" s="10"/>
      <c r="AD67" s="5"/>
      <c r="AF67" s="8"/>
      <c r="AG67" s="5"/>
      <c r="AH67" s="5"/>
      <c r="AI67" s="5"/>
      <c r="AJ67" s="5"/>
      <c r="AK67" s="5"/>
    </row>
    <row r="68" spans="7:105" x14ac:dyDescent="0.2">
      <c r="G68" t="s">
        <v>64</v>
      </c>
      <c r="H68">
        <f>B41</f>
        <v>0</v>
      </c>
      <c r="AB68" s="5"/>
      <c r="AC68" s="11"/>
      <c r="AD68" s="5"/>
      <c r="AF68" s="8"/>
      <c r="AG68" s="5"/>
      <c r="AH68" s="5"/>
      <c r="AI68" s="5"/>
      <c r="AJ68" s="5"/>
      <c r="AK68" s="5"/>
    </row>
    <row r="69" spans="7:105" x14ac:dyDescent="0.2">
      <c r="G69" t="s">
        <v>416</v>
      </c>
      <c r="H69" s="1">
        <f>B33</f>
        <v>584000</v>
      </c>
      <c r="I69" t="s">
        <v>381</v>
      </c>
      <c r="AF69" s="12"/>
      <c r="AG69" s="5"/>
      <c r="AH69" s="5"/>
      <c r="AI69" s="5"/>
      <c r="AJ69" s="5"/>
      <c r="AK69" s="5"/>
      <c r="BW69" s="1"/>
    </row>
    <row r="70" spans="7:105" x14ac:dyDescent="0.2">
      <c r="G70" t="s">
        <v>435</v>
      </c>
      <c r="H70" s="1">
        <f>B59</f>
        <v>0.23076923076923078</v>
      </c>
      <c r="AF70" s="8"/>
      <c r="AG70" s="5"/>
      <c r="AH70" s="5"/>
      <c r="AI70" s="5"/>
      <c r="AJ70" s="5"/>
      <c r="AK70" s="5"/>
    </row>
    <row r="71" spans="7:105" x14ac:dyDescent="0.2">
      <c r="G71" t="s">
        <v>434</v>
      </c>
      <c r="H71" s="1">
        <f>B60</f>
        <v>0.76923076923076927</v>
      </c>
      <c r="AF71" s="13"/>
      <c r="AG71" s="5"/>
      <c r="AH71" s="5"/>
      <c r="AI71" s="5"/>
      <c r="AJ71" s="5"/>
      <c r="AK71" s="5"/>
    </row>
    <row r="72" spans="7:105" x14ac:dyDescent="0.2">
      <c r="AF72" s="8"/>
      <c r="AG72" s="5"/>
      <c r="AH72" s="5"/>
      <c r="AI72" s="5"/>
      <c r="AJ72" s="5"/>
      <c r="AK72" s="5"/>
    </row>
    <row r="73" spans="7:105" x14ac:dyDescent="0.2">
      <c r="AF73" s="8"/>
      <c r="AG73" s="5"/>
      <c r="AH73" s="5"/>
      <c r="AI73" s="5"/>
      <c r="AJ73" s="5"/>
      <c r="AK73" s="5"/>
    </row>
    <row r="74" spans="7:105" x14ac:dyDescent="0.2">
      <c r="AF74" s="8"/>
      <c r="AG74" s="5"/>
      <c r="AH74" s="5"/>
      <c r="AI74" s="5"/>
      <c r="AJ74" s="5"/>
      <c r="AK74" s="5"/>
    </row>
    <row r="75" spans="7:105" x14ac:dyDescent="0.2">
      <c r="AF75" s="5"/>
      <c r="AG75" s="5"/>
      <c r="AH75" s="5"/>
      <c r="AI75" s="5"/>
      <c r="AJ75" s="5"/>
      <c r="AK75" s="5"/>
    </row>
    <row r="76" spans="7:105" x14ac:dyDescent="0.2">
      <c r="AF76" s="8"/>
      <c r="AG76" s="5"/>
      <c r="AH76" s="5"/>
      <c r="AI76" s="5"/>
      <c r="AJ76" s="5"/>
      <c r="AK76" s="5"/>
    </row>
    <row r="77" spans="7:105" x14ac:dyDescent="0.2">
      <c r="AF77" s="8"/>
      <c r="AG77" s="5"/>
      <c r="AH77" s="5"/>
      <c r="AI77" s="5"/>
      <c r="AJ77" s="5"/>
      <c r="AK77" s="5"/>
    </row>
    <row r="78" spans="7:105" ht="12.75" customHeight="1" x14ac:dyDescent="0.2">
      <c r="AF78" s="8"/>
      <c r="AG78" s="5"/>
    </row>
    <row r="79" spans="7:105" x14ac:dyDescent="0.2">
      <c r="AF79" s="8"/>
      <c r="AG79" s="5"/>
      <c r="AH79" s="5"/>
      <c r="AI79" s="5"/>
      <c r="AJ79" s="5"/>
      <c r="AK79" s="5"/>
    </row>
    <row r="80" spans="7:105" x14ac:dyDescent="0.2">
      <c r="AF80" s="8"/>
      <c r="AG80" s="5"/>
      <c r="AH80" s="5"/>
      <c r="AI80" s="5"/>
      <c r="AJ80" s="5"/>
      <c r="AK80" s="5"/>
    </row>
    <row r="81" spans="32:37" x14ac:dyDescent="0.2">
      <c r="AF81" s="8"/>
      <c r="AG81" s="5"/>
      <c r="AH81" s="5"/>
      <c r="AI81" s="5"/>
      <c r="AJ81" s="5"/>
      <c r="AK81" s="5"/>
    </row>
    <row r="82" spans="32:37" x14ac:dyDescent="0.2">
      <c r="AF82" s="8"/>
      <c r="AG82" s="5"/>
      <c r="AH82" s="5"/>
      <c r="AI82" s="5"/>
      <c r="AJ82" s="5"/>
      <c r="AK82" s="5"/>
    </row>
    <row r="83" spans="32:37" x14ac:dyDescent="0.2">
      <c r="AF83" s="5"/>
      <c r="AG83" s="5"/>
    </row>
    <row r="84" spans="32:37" x14ac:dyDescent="0.2">
      <c r="AF84" s="5"/>
      <c r="AG84" s="5"/>
      <c r="AH84" s="5"/>
      <c r="AI84" s="5"/>
      <c r="AJ84" s="5"/>
      <c r="AK84" s="5"/>
    </row>
    <row r="85" spans="32:37" x14ac:dyDescent="0.2">
      <c r="AF85" s="5"/>
      <c r="AG85" s="5"/>
    </row>
    <row r="86" spans="32:37" x14ac:dyDescent="0.2">
      <c r="AH86" s="5"/>
      <c r="AI86" s="5"/>
      <c r="AJ86" s="5"/>
      <c r="AK86" s="5"/>
    </row>
  </sheetData>
  <mergeCells count="6">
    <mergeCell ref="CH34:CL37"/>
    <mergeCell ref="BK36:BO39"/>
    <mergeCell ref="AF43:AH45"/>
    <mergeCell ref="A1:C1"/>
    <mergeCell ref="A4:C4"/>
    <mergeCell ref="A13:C16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F86"/>
  <sheetViews>
    <sheetView workbookViewId="0">
      <pane xSplit="3" topLeftCell="D1" activePane="topRight" state="frozen"/>
      <selection pane="topRight" activeCell="D1" sqref="D1"/>
    </sheetView>
  </sheetViews>
  <sheetFormatPr defaultRowHeight="12.75" x14ac:dyDescent="0.2"/>
  <cols>
    <col min="1" max="1" width="14.42578125" bestFit="1" customWidth="1"/>
    <col min="2" max="2" width="8.85546875" bestFit="1" customWidth="1"/>
    <col min="3" max="3" width="14.28515625" bestFit="1" customWidth="1"/>
    <col min="4" max="4" width="8.5703125" customWidth="1"/>
    <col min="5" max="5" width="12.5703125" customWidth="1"/>
    <col min="6" max="6" width="19" customWidth="1"/>
    <col min="7" max="7" width="10" customWidth="1"/>
    <col min="8" max="8" width="12" customWidth="1"/>
    <col min="9" max="9" width="13.28515625" customWidth="1"/>
    <col min="10" max="10" width="10" customWidth="1"/>
    <col min="11" max="11" width="12.85546875" customWidth="1"/>
    <col min="12" max="12" width="14.28515625" customWidth="1"/>
    <col min="13" max="13" width="10.42578125" customWidth="1"/>
    <col min="14" max="14" width="11.5703125" customWidth="1"/>
    <col min="15" max="15" width="15.42578125" customWidth="1"/>
    <col min="16" max="16" width="10.42578125" customWidth="1"/>
    <col min="17" max="17" width="8.85546875" customWidth="1"/>
    <col min="18" max="18" width="15.42578125" customWidth="1"/>
    <col min="19" max="19" width="10.42578125" customWidth="1"/>
    <col min="20" max="20" width="8.85546875" customWidth="1"/>
    <col min="21" max="21" width="15.42578125" customWidth="1"/>
    <col min="22" max="22" width="8.5703125" customWidth="1"/>
    <col min="23" max="23" width="9" customWidth="1"/>
    <col min="24" max="24" width="16.85546875" customWidth="1"/>
    <col min="25" max="25" width="9.28515625" customWidth="1"/>
    <col min="26" max="26" width="11.140625" customWidth="1"/>
    <col min="27" max="27" width="16.85546875" customWidth="1"/>
    <col min="28" max="28" width="12.85546875" customWidth="1"/>
    <col min="29" max="29" width="17.42578125" customWidth="1"/>
    <col min="30" max="30" width="15.7109375" customWidth="1"/>
    <col min="31" max="31" width="15" customWidth="1"/>
    <col min="32" max="32" width="20.5703125" customWidth="1"/>
    <col min="33" max="33" width="24.28515625" customWidth="1"/>
    <col min="34" max="34" width="15.7109375" customWidth="1"/>
    <col min="35" max="35" width="10.42578125" customWidth="1"/>
    <col min="36" max="36" width="11.5703125" customWidth="1"/>
    <col min="37" max="37" width="15.42578125" customWidth="1"/>
    <col min="38" max="38" width="10.42578125" customWidth="1"/>
    <col min="39" max="39" width="8.85546875" customWidth="1"/>
    <col min="40" max="40" width="15.42578125" customWidth="1"/>
    <col min="41" max="41" width="10.42578125" customWidth="1"/>
    <col min="42" max="42" width="8.85546875" customWidth="1"/>
    <col min="43" max="43" width="15.42578125" customWidth="1"/>
    <col min="44" max="44" width="10.42578125" customWidth="1"/>
    <col min="45" max="45" width="11.5703125" customWidth="1"/>
    <col min="46" max="46" width="15.42578125" customWidth="1"/>
    <col min="47" max="47" width="10.42578125" customWidth="1"/>
    <col min="48" max="48" width="8.85546875" customWidth="1"/>
    <col min="49" max="49" width="15.42578125" customWidth="1"/>
    <col min="50" max="50" width="10.42578125" bestFit="1" customWidth="1"/>
    <col min="51" max="51" width="8.85546875" customWidth="1"/>
    <col min="52" max="52" width="15.42578125" customWidth="1"/>
    <col min="53" max="53" width="10.42578125" bestFit="1" customWidth="1"/>
    <col min="54" max="54" width="11.5703125" bestFit="1" customWidth="1"/>
    <col min="55" max="55" width="15.42578125" bestFit="1" customWidth="1"/>
    <col min="56" max="56" width="10.42578125" bestFit="1" customWidth="1"/>
    <col min="57" max="57" width="8.85546875" bestFit="1" customWidth="1"/>
    <col min="58" max="58" width="15.42578125" bestFit="1" customWidth="1"/>
    <col min="59" max="59" width="10.42578125" bestFit="1" customWidth="1"/>
    <col min="60" max="60" width="8.85546875" bestFit="1" customWidth="1"/>
    <col min="61" max="61" width="15.42578125" bestFit="1" customWidth="1"/>
    <col min="62" max="62" width="10.42578125" bestFit="1" customWidth="1"/>
    <col min="63" max="63" width="11.5703125" bestFit="1" customWidth="1"/>
    <col min="64" max="64" width="15.42578125" bestFit="1" customWidth="1"/>
    <col min="65" max="65" width="10.42578125" bestFit="1" customWidth="1"/>
    <col min="66" max="66" width="8.85546875" bestFit="1" customWidth="1"/>
    <col min="67" max="67" width="15.42578125" bestFit="1" customWidth="1"/>
    <col min="68" max="68" width="10.42578125" bestFit="1" customWidth="1"/>
    <col min="69" max="69" width="8.85546875" bestFit="1" customWidth="1"/>
    <col min="70" max="70" width="15.42578125" bestFit="1" customWidth="1"/>
    <col min="71" max="71" width="8.5703125" customWidth="1"/>
    <col min="72" max="72" width="10.5703125" bestFit="1" customWidth="1"/>
    <col min="73" max="73" width="19" bestFit="1" customWidth="1"/>
    <col min="74" max="75" width="12" bestFit="1" customWidth="1"/>
    <col min="76" max="76" width="10.42578125" bestFit="1" customWidth="1"/>
    <col min="77" max="77" width="10" bestFit="1" customWidth="1"/>
    <col min="78" max="78" width="11.28515625" bestFit="1" customWidth="1"/>
    <col min="79" max="79" width="14.28515625" customWidth="1"/>
    <col min="80" max="82" width="15.42578125" customWidth="1"/>
    <col min="83" max="83" width="10.42578125" bestFit="1" customWidth="1"/>
    <col min="84" max="84" width="8.85546875" bestFit="1" customWidth="1"/>
    <col min="85" max="85" width="15.42578125" bestFit="1" customWidth="1"/>
    <col min="86" max="86" width="10.42578125" bestFit="1" customWidth="1"/>
    <col min="87" max="87" width="8.85546875" bestFit="1" customWidth="1"/>
    <col min="88" max="88" width="15.42578125" bestFit="1" customWidth="1"/>
    <col min="89" max="89" width="9" bestFit="1" customWidth="1"/>
    <col min="90" max="90" width="8.85546875" bestFit="1" customWidth="1"/>
    <col min="91" max="91" width="8.140625" bestFit="1" customWidth="1"/>
    <col min="92" max="92" width="9.85546875" bestFit="1" customWidth="1"/>
    <col min="93" max="93" width="8.85546875" bestFit="1" customWidth="1"/>
    <col min="94" max="94" width="7.42578125" bestFit="1" customWidth="1"/>
    <col min="95" max="95" width="9.42578125" bestFit="1" customWidth="1"/>
    <col min="96" max="96" width="8.85546875" bestFit="1" customWidth="1"/>
    <col min="97" max="97" width="7.42578125" bestFit="1" customWidth="1"/>
    <col min="98" max="98" width="10" bestFit="1" customWidth="1"/>
    <col min="99" max="99" width="12.85546875" bestFit="1" customWidth="1"/>
    <col min="100" max="100" width="14.28515625" customWidth="1"/>
    <col min="101" max="101" width="8.5703125" customWidth="1"/>
    <col min="102" max="102" width="10.5703125" bestFit="1" customWidth="1"/>
    <col min="103" max="103" width="16.85546875" bestFit="1" customWidth="1"/>
    <col min="104" max="104" width="10.42578125" bestFit="1" customWidth="1"/>
    <col min="105" max="105" width="11.28515625" bestFit="1" customWidth="1"/>
    <col min="106" max="106" width="9.42578125" customWidth="1"/>
    <col min="107" max="107" width="9.140625" customWidth="1"/>
    <col min="108" max="108" width="11.28515625" bestFit="1" customWidth="1"/>
    <col min="109" max="109" width="9.140625" customWidth="1"/>
    <col min="110" max="110" width="9.85546875" bestFit="1" customWidth="1"/>
    <col min="111" max="111" width="12" customWidth="1"/>
    <col min="112" max="112" width="9.42578125" customWidth="1"/>
    <col min="113" max="113" width="7.5703125" bestFit="1" customWidth="1"/>
    <col min="114" max="114" width="8.28515625" bestFit="1" customWidth="1"/>
    <col min="115" max="115" width="7.42578125" bestFit="1" customWidth="1"/>
    <col min="116" max="116" width="7.5703125" bestFit="1" customWidth="1"/>
    <col min="117" max="117" width="8.28515625" bestFit="1" customWidth="1"/>
    <col min="118" max="118" width="7.42578125" bestFit="1" customWidth="1"/>
    <col min="119" max="119" width="9.85546875" bestFit="1" customWidth="1"/>
    <col min="120" max="120" width="12" customWidth="1"/>
    <col min="121" max="121" width="9.42578125" customWidth="1"/>
    <col min="122" max="122" width="8" bestFit="1" customWidth="1"/>
    <col min="123" max="123" width="12.85546875" bestFit="1" customWidth="1"/>
    <col min="124" max="124" width="9.140625" customWidth="1"/>
    <col min="125" max="125" width="8.85546875" bestFit="1" customWidth="1"/>
    <col min="126" max="126" width="8.85546875" customWidth="1"/>
    <col min="127" max="127" width="7.42578125" bestFit="1" customWidth="1"/>
    <col min="128" max="128" width="6.28515625" customWidth="1"/>
    <col min="129" max="129" width="8.85546875" customWidth="1"/>
    <col min="130" max="130" width="7.42578125" bestFit="1" customWidth="1"/>
    <col min="131" max="131" width="6.28515625" customWidth="1"/>
    <col min="132" max="132" width="8.85546875" customWidth="1"/>
    <col min="133" max="133" width="7.42578125" bestFit="1" customWidth="1"/>
    <col min="134" max="134" width="9.85546875" bestFit="1" customWidth="1"/>
    <col min="135" max="135" width="9.42578125" bestFit="1" customWidth="1"/>
    <col min="136" max="136" width="7.42578125" bestFit="1" customWidth="1"/>
    <col min="137" max="137" width="8" bestFit="1" customWidth="1"/>
    <col min="138" max="138" width="12.85546875" bestFit="1" customWidth="1"/>
    <col min="139" max="139" width="9.140625" customWidth="1"/>
    <col min="140" max="140" width="8.28515625" customWidth="1"/>
    <col min="141" max="141" width="8.85546875" customWidth="1"/>
    <col min="142" max="142" width="7.42578125" bestFit="1" customWidth="1"/>
    <col min="143" max="143" width="6.28515625" customWidth="1"/>
    <col min="144" max="144" width="8.85546875" customWidth="1"/>
    <col min="145" max="145" width="7.42578125" bestFit="1" customWidth="1"/>
    <col min="146" max="146" width="6.28515625" customWidth="1"/>
    <col min="147" max="147" width="8.85546875" customWidth="1"/>
    <col min="148" max="148" width="7.42578125" bestFit="1" customWidth="1"/>
    <col min="149" max="149" width="9.85546875" bestFit="1" customWidth="1"/>
    <col min="150" max="150" width="9.42578125" bestFit="1" customWidth="1"/>
    <col min="151" max="151" width="7.42578125" bestFit="1" customWidth="1"/>
    <col min="152" max="152" width="8" bestFit="1" customWidth="1"/>
    <col min="153" max="153" width="11.28515625" bestFit="1" customWidth="1"/>
    <col min="154" max="154" width="9.140625" customWidth="1"/>
    <col min="155" max="155" width="7.85546875" bestFit="1" customWidth="1"/>
    <col min="156" max="156" width="8.85546875" customWidth="1"/>
    <col min="157" max="157" width="7.42578125" bestFit="1" customWidth="1"/>
    <col min="158" max="158" width="8.28515625" bestFit="1" customWidth="1"/>
    <col min="159" max="159" width="8.85546875" bestFit="1" customWidth="1"/>
    <col min="160" max="160" width="7.42578125" bestFit="1" customWidth="1"/>
    <col min="161" max="162" width="8.28515625" bestFit="1" customWidth="1"/>
    <col min="163" max="163" width="7.42578125" bestFit="1" customWidth="1"/>
    <col min="164" max="164" width="9.85546875" bestFit="1" customWidth="1"/>
    <col min="165" max="165" width="9" bestFit="1" customWidth="1"/>
    <col min="166" max="166" width="7.42578125" bestFit="1" customWidth="1"/>
    <col min="167" max="167" width="8.28515625" bestFit="1" customWidth="1"/>
    <col min="168" max="168" width="12.85546875" bestFit="1" customWidth="1"/>
    <col min="169" max="169" width="9.140625" customWidth="1"/>
    <col min="170" max="170" width="7.7109375" customWidth="1"/>
    <col min="171" max="171" width="8.28515625" customWidth="1"/>
    <col min="172" max="172" width="7.42578125" customWidth="1"/>
    <col min="173" max="173" width="6.5703125" customWidth="1"/>
    <col min="174" max="174" width="9" customWidth="1"/>
    <col min="175" max="175" width="7.42578125" customWidth="1"/>
    <col min="176" max="176" width="6.5703125" customWidth="1"/>
    <col min="177" max="177" width="9" customWidth="1"/>
    <col min="178" max="178" width="7.42578125" customWidth="1"/>
    <col min="179" max="179" width="9.85546875" customWidth="1"/>
    <col min="180" max="180" width="9" customWidth="1"/>
    <col min="181" max="181" width="7.42578125" customWidth="1"/>
    <col min="182" max="182" width="8" customWidth="1"/>
    <col min="183" max="183" width="12.85546875" bestFit="1" customWidth="1"/>
    <col min="184" max="184" width="9.140625" customWidth="1"/>
    <col min="185" max="185" width="6.85546875" customWidth="1"/>
    <col min="186" max="186" width="8.85546875" customWidth="1"/>
    <col min="187" max="187" width="7.42578125" customWidth="1"/>
    <col min="188" max="188" width="7.28515625" customWidth="1"/>
    <col min="189" max="189" width="8.85546875" customWidth="1"/>
    <col min="190" max="190" width="7.42578125" customWidth="1"/>
    <col min="191" max="191" width="7.28515625" customWidth="1"/>
    <col min="192" max="192" width="8.28515625" customWidth="1"/>
    <col min="193" max="193" width="7.42578125" customWidth="1"/>
    <col min="194" max="194" width="9.85546875" customWidth="1"/>
    <col min="195" max="195" width="9" customWidth="1"/>
    <col min="196" max="196" width="7.42578125" customWidth="1"/>
    <col min="197" max="197" width="9.7109375" bestFit="1" customWidth="1"/>
    <col min="198" max="198" width="12" bestFit="1" customWidth="1"/>
    <col min="199" max="199" width="9.140625" customWidth="1"/>
    <col min="200" max="200" width="9.5703125" bestFit="1" customWidth="1"/>
    <col min="201" max="201" width="8.85546875" bestFit="1" customWidth="1"/>
    <col min="202" max="202" width="7.42578125" bestFit="1" customWidth="1"/>
    <col min="203" max="203" width="7.5703125" bestFit="1" customWidth="1"/>
    <col min="204" max="204" width="8.85546875" bestFit="1" customWidth="1"/>
    <col min="205" max="205" width="7.42578125" bestFit="1" customWidth="1"/>
    <col min="206" max="206" width="7.5703125" bestFit="1" customWidth="1"/>
    <col min="207" max="207" width="8.85546875" bestFit="1" customWidth="1"/>
    <col min="208" max="208" width="7.42578125" bestFit="1" customWidth="1"/>
    <col min="209" max="209" width="9.85546875" bestFit="1" customWidth="1"/>
    <col min="210" max="210" width="9" bestFit="1" customWidth="1"/>
    <col min="211" max="211" width="7.42578125" bestFit="1" customWidth="1"/>
    <col min="212" max="212" width="10.28515625" bestFit="1" customWidth="1"/>
    <col min="213" max="213" width="9" bestFit="1" customWidth="1"/>
    <col min="214" max="214" width="12.5703125" bestFit="1" customWidth="1"/>
  </cols>
  <sheetData>
    <row r="1" spans="1:214" ht="13.9" customHeight="1" thickTop="1" thickBot="1" x14ac:dyDescent="0.25">
      <c r="A1" s="439" t="s">
        <v>424</v>
      </c>
      <c r="B1" s="440"/>
      <c r="C1" s="441"/>
      <c r="D1" s="98" t="s">
        <v>3</v>
      </c>
      <c r="E1" s="99"/>
      <c r="F1" s="99" t="s">
        <v>0</v>
      </c>
      <c r="G1" s="260" t="s">
        <v>3</v>
      </c>
      <c r="H1" s="114"/>
      <c r="I1" s="114" t="s">
        <v>0</v>
      </c>
      <c r="J1" s="257" t="s">
        <v>3</v>
      </c>
      <c r="K1" s="104"/>
      <c r="L1" s="105" t="s">
        <v>0</v>
      </c>
      <c r="M1" s="117" t="s">
        <v>13</v>
      </c>
      <c r="N1" s="118" t="s">
        <v>14</v>
      </c>
      <c r="O1" s="118" t="s">
        <v>0</v>
      </c>
      <c r="P1" s="252" t="s">
        <v>13</v>
      </c>
      <c r="Q1" s="118" t="s">
        <v>141</v>
      </c>
      <c r="R1" s="118" t="s">
        <v>0</v>
      </c>
      <c r="S1" s="252" t="s">
        <v>13</v>
      </c>
      <c r="T1" s="118" t="s">
        <v>16</v>
      </c>
      <c r="U1" s="119" t="s">
        <v>0</v>
      </c>
      <c r="V1" s="88" t="s">
        <v>1</v>
      </c>
      <c r="W1" s="89" t="s">
        <v>2</v>
      </c>
      <c r="X1" s="89" t="s">
        <v>0</v>
      </c>
      <c r="Y1" s="248" t="s">
        <v>1</v>
      </c>
      <c r="Z1" s="89" t="s">
        <v>4</v>
      </c>
      <c r="AA1" s="90" t="s">
        <v>0</v>
      </c>
      <c r="AB1" s="149" t="s">
        <v>1</v>
      </c>
      <c r="AC1" s="243" t="s">
        <v>4</v>
      </c>
      <c r="AD1" s="240" t="s">
        <v>5</v>
      </c>
      <c r="AE1" s="243" t="s">
        <v>2</v>
      </c>
      <c r="AF1" s="243" t="s">
        <v>7</v>
      </c>
      <c r="AG1" s="240" t="s">
        <v>6</v>
      </c>
      <c r="AH1" s="163" t="s">
        <v>15</v>
      </c>
      <c r="AI1" s="133" t="s">
        <v>13</v>
      </c>
      <c r="AJ1" s="134" t="s">
        <v>14</v>
      </c>
      <c r="AK1" s="134" t="s">
        <v>0</v>
      </c>
      <c r="AL1" s="233" t="s">
        <v>13</v>
      </c>
      <c r="AM1" s="134" t="s">
        <v>141</v>
      </c>
      <c r="AN1" s="134" t="s">
        <v>0</v>
      </c>
      <c r="AO1" s="233" t="s">
        <v>13</v>
      </c>
      <c r="AP1" s="134" t="s">
        <v>16</v>
      </c>
      <c r="AQ1" s="135" t="s">
        <v>0</v>
      </c>
      <c r="AR1" s="141" t="s">
        <v>13</v>
      </c>
      <c r="AS1" s="142" t="s">
        <v>14</v>
      </c>
      <c r="AT1" s="142" t="s">
        <v>0</v>
      </c>
      <c r="AU1" s="236" t="s">
        <v>13</v>
      </c>
      <c r="AV1" s="142" t="s">
        <v>141</v>
      </c>
      <c r="AW1" s="142" t="s">
        <v>0</v>
      </c>
      <c r="AX1" s="236" t="s">
        <v>13</v>
      </c>
      <c r="AY1" s="142" t="s">
        <v>16</v>
      </c>
      <c r="AZ1" s="143" t="s">
        <v>0</v>
      </c>
      <c r="BA1" s="141" t="s">
        <v>13</v>
      </c>
      <c r="BB1" s="142" t="s">
        <v>14</v>
      </c>
      <c r="BC1" s="142" t="s">
        <v>0</v>
      </c>
      <c r="BD1" s="236" t="s">
        <v>13</v>
      </c>
      <c r="BE1" s="142" t="s">
        <v>141</v>
      </c>
      <c r="BF1" s="142" t="s">
        <v>0</v>
      </c>
      <c r="BG1" s="236" t="s">
        <v>13</v>
      </c>
      <c r="BH1" s="142" t="s">
        <v>16</v>
      </c>
      <c r="BI1" s="143" t="s">
        <v>0</v>
      </c>
      <c r="BJ1" s="141" t="s">
        <v>13</v>
      </c>
      <c r="BK1" s="142" t="s">
        <v>14</v>
      </c>
      <c r="BL1" s="142" t="s">
        <v>0</v>
      </c>
      <c r="BM1" s="236" t="s">
        <v>13</v>
      </c>
      <c r="BN1" s="142" t="s">
        <v>141</v>
      </c>
      <c r="BO1" s="142" t="s">
        <v>0</v>
      </c>
      <c r="BP1" s="236" t="s">
        <v>13</v>
      </c>
      <c r="BQ1" s="142" t="s">
        <v>16</v>
      </c>
      <c r="BR1" s="143" t="s">
        <v>0</v>
      </c>
      <c r="BS1" s="230" t="s">
        <v>8</v>
      </c>
      <c r="BT1" s="76"/>
      <c r="BU1" s="76" t="s">
        <v>0</v>
      </c>
      <c r="BV1" s="230" t="s">
        <v>8</v>
      </c>
      <c r="BW1" s="76"/>
      <c r="BX1" s="76" t="s">
        <v>0</v>
      </c>
      <c r="BY1" s="230" t="s">
        <v>397</v>
      </c>
      <c r="BZ1" s="76"/>
      <c r="CA1" s="76" t="s">
        <v>0</v>
      </c>
      <c r="CB1" s="230" t="s">
        <v>8</v>
      </c>
      <c r="CC1" s="76" t="s">
        <v>14</v>
      </c>
      <c r="CD1" s="76" t="s">
        <v>0</v>
      </c>
      <c r="CE1" s="230" t="s">
        <v>8</v>
      </c>
      <c r="CF1" s="76" t="s">
        <v>141</v>
      </c>
      <c r="CG1" s="76" t="s">
        <v>0</v>
      </c>
      <c r="CH1" s="230" t="s">
        <v>8</v>
      </c>
      <c r="CI1" s="76" t="s">
        <v>16</v>
      </c>
      <c r="CJ1" s="77" t="s">
        <v>0</v>
      </c>
      <c r="CK1" s="230" t="s">
        <v>8</v>
      </c>
      <c r="CL1" s="76" t="s">
        <v>301</v>
      </c>
      <c r="CM1" s="77" t="s">
        <v>0</v>
      </c>
      <c r="CN1" s="230" t="s">
        <v>8</v>
      </c>
      <c r="CO1" s="76" t="s">
        <v>301</v>
      </c>
      <c r="CP1" s="77" t="s">
        <v>0</v>
      </c>
      <c r="CQ1" s="230" t="s">
        <v>8</v>
      </c>
      <c r="CR1" s="76" t="s">
        <v>301</v>
      </c>
      <c r="CS1" s="77" t="s">
        <v>0</v>
      </c>
      <c r="CT1" s="382" t="s">
        <v>295</v>
      </c>
      <c r="CU1" s="383"/>
      <c r="CV1" s="384" t="s">
        <v>0</v>
      </c>
      <c r="CW1" s="265" t="s">
        <v>295</v>
      </c>
      <c r="CX1" s="174"/>
      <c r="CY1" s="174" t="s">
        <v>0</v>
      </c>
      <c r="CZ1" s="268" t="s">
        <v>9</v>
      </c>
      <c r="DA1" s="178"/>
      <c r="DB1" s="179" t="s">
        <v>0</v>
      </c>
      <c r="DC1" s="307" t="s">
        <v>9</v>
      </c>
      <c r="DD1" s="307"/>
      <c r="DE1" s="307" t="s">
        <v>423</v>
      </c>
      <c r="DF1" s="27" t="s">
        <v>9</v>
      </c>
      <c r="DG1" s="28" t="s">
        <v>10</v>
      </c>
      <c r="DH1" s="28" t="s">
        <v>423</v>
      </c>
      <c r="DI1" s="226" t="s">
        <v>9</v>
      </c>
      <c r="DJ1" s="28" t="s">
        <v>11</v>
      </c>
      <c r="DK1" s="28" t="s">
        <v>423</v>
      </c>
      <c r="DL1" s="226" t="s">
        <v>9</v>
      </c>
      <c r="DM1" s="28" t="s">
        <v>12</v>
      </c>
      <c r="DN1" s="28" t="s">
        <v>423</v>
      </c>
      <c r="DO1" s="226" t="s">
        <v>9</v>
      </c>
      <c r="DP1" s="28" t="s">
        <v>12</v>
      </c>
      <c r="DQ1" s="29" t="s">
        <v>423</v>
      </c>
      <c r="DR1" s="23" t="s">
        <v>9</v>
      </c>
      <c r="DS1" s="23"/>
      <c r="DT1" s="23" t="s">
        <v>423</v>
      </c>
      <c r="DU1" s="315" t="s">
        <v>9</v>
      </c>
      <c r="DV1" s="316" t="s">
        <v>10</v>
      </c>
      <c r="DW1" s="316" t="s">
        <v>423</v>
      </c>
      <c r="DX1" s="317" t="s">
        <v>9</v>
      </c>
      <c r="DY1" s="316" t="s">
        <v>11</v>
      </c>
      <c r="DZ1" s="316" t="s">
        <v>423</v>
      </c>
      <c r="EA1" s="317" t="s">
        <v>9</v>
      </c>
      <c r="EB1" s="316" t="s">
        <v>12</v>
      </c>
      <c r="EC1" s="316" t="s">
        <v>423</v>
      </c>
      <c r="ED1" s="317" t="s">
        <v>9</v>
      </c>
      <c r="EE1" s="316" t="s">
        <v>12</v>
      </c>
      <c r="EF1" s="318" t="s">
        <v>423</v>
      </c>
      <c r="EG1" s="18" t="s">
        <v>9</v>
      </c>
      <c r="EH1" s="18"/>
      <c r="EI1" s="18" t="s">
        <v>423</v>
      </c>
      <c r="EJ1" s="332" t="s">
        <v>9</v>
      </c>
      <c r="EK1" s="333" t="s">
        <v>10</v>
      </c>
      <c r="EL1" s="333" t="s">
        <v>423</v>
      </c>
      <c r="EM1" s="334" t="s">
        <v>9</v>
      </c>
      <c r="EN1" s="333" t="s">
        <v>11</v>
      </c>
      <c r="EO1" s="333" t="s">
        <v>423</v>
      </c>
      <c r="EP1" s="334" t="s">
        <v>9</v>
      </c>
      <c r="EQ1" s="333" t="s">
        <v>12</v>
      </c>
      <c r="ER1" s="333" t="s">
        <v>423</v>
      </c>
      <c r="ES1" s="334" t="s">
        <v>9</v>
      </c>
      <c r="ET1" s="333" t="s">
        <v>12</v>
      </c>
      <c r="EU1" s="335" t="s">
        <v>423</v>
      </c>
      <c r="EV1" s="37" t="s">
        <v>9</v>
      </c>
      <c r="EW1" s="37"/>
      <c r="EX1" s="37" t="s">
        <v>423</v>
      </c>
      <c r="EY1" s="192" t="s">
        <v>9</v>
      </c>
      <c r="EZ1" s="193" t="s">
        <v>10</v>
      </c>
      <c r="FA1" s="193" t="s">
        <v>423</v>
      </c>
      <c r="FB1" s="221" t="s">
        <v>9</v>
      </c>
      <c r="FC1" s="193" t="s">
        <v>11</v>
      </c>
      <c r="FD1" s="193" t="s">
        <v>423</v>
      </c>
      <c r="FE1" s="221" t="s">
        <v>9</v>
      </c>
      <c r="FF1" s="193" t="s">
        <v>12</v>
      </c>
      <c r="FG1" s="193" t="s">
        <v>423</v>
      </c>
      <c r="FH1" s="221" t="s">
        <v>9</v>
      </c>
      <c r="FI1" s="193" t="s">
        <v>12</v>
      </c>
      <c r="FJ1" s="194" t="s">
        <v>423</v>
      </c>
      <c r="FK1" s="41" t="s">
        <v>9</v>
      </c>
      <c r="FL1" s="42"/>
      <c r="FM1" s="43" t="s">
        <v>423</v>
      </c>
      <c r="FN1" s="204" t="s">
        <v>9</v>
      </c>
      <c r="FO1" s="205" t="s">
        <v>10</v>
      </c>
      <c r="FP1" s="205" t="s">
        <v>423</v>
      </c>
      <c r="FQ1" s="216" t="s">
        <v>9</v>
      </c>
      <c r="FR1" s="205" t="s">
        <v>11</v>
      </c>
      <c r="FS1" s="205" t="s">
        <v>423</v>
      </c>
      <c r="FT1" s="216" t="s">
        <v>9</v>
      </c>
      <c r="FU1" s="205" t="s">
        <v>12</v>
      </c>
      <c r="FV1" s="205" t="s">
        <v>423</v>
      </c>
      <c r="FW1" s="216" t="s">
        <v>9</v>
      </c>
      <c r="FX1" s="205" t="s">
        <v>12</v>
      </c>
      <c r="FY1" s="206" t="s">
        <v>423</v>
      </c>
      <c r="FZ1" s="53" t="s">
        <v>9</v>
      </c>
      <c r="GA1" s="54"/>
      <c r="GB1" s="55" t="s">
        <v>423</v>
      </c>
      <c r="GC1" s="272" t="s">
        <v>9</v>
      </c>
      <c r="GD1" s="273" t="s">
        <v>10</v>
      </c>
      <c r="GE1" s="273" t="s">
        <v>423</v>
      </c>
      <c r="GF1" s="284" t="s">
        <v>9</v>
      </c>
      <c r="GG1" s="273" t="s">
        <v>11</v>
      </c>
      <c r="GH1" s="273" t="s">
        <v>423</v>
      </c>
      <c r="GI1" s="284" t="s">
        <v>9</v>
      </c>
      <c r="GJ1" s="273" t="s">
        <v>12</v>
      </c>
      <c r="GK1" s="273" t="s">
        <v>423</v>
      </c>
      <c r="GL1" s="284" t="s">
        <v>9</v>
      </c>
      <c r="GM1" s="273" t="s">
        <v>12</v>
      </c>
      <c r="GN1" s="274" t="s">
        <v>423</v>
      </c>
      <c r="GO1" s="65" t="s">
        <v>9</v>
      </c>
      <c r="GP1" s="66"/>
      <c r="GQ1" s="67" t="s">
        <v>423</v>
      </c>
      <c r="GR1" s="288" t="s">
        <v>9</v>
      </c>
      <c r="GS1" s="289" t="s">
        <v>10</v>
      </c>
      <c r="GT1" s="289" t="s">
        <v>423</v>
      </c>
      <c r="GU1" s="296" t="s">
        <v>9</v>
      </c>
      <c r="GV1" s="289" t="s">
        <v>11</v>
      </c>
      <c r="GW1" s="289" t="s">
        <v>423</v>
      </c>
      <c r="GX1" s="296" t="s">
        <v>9</v>
      </c>
      <c r="GY1" s="289" t="s">
        <v>12</v>
      </c>
      <c r="GZ1" s="289" t="s">
        <v>423</v>
      </c>
      <c r="HA1" s="296" t="s">
        <v>9</v>
      </c>
      <c r="HB1" s="289" t="s">
        <v>12</v>
      </c>
      <c r="HC1" s="289" t="s">
        <v>423</v>
      </c>
      <c r="HD1" s="157" t="s">
        <v>456</v>
      </c>
      <c r="HE1" s="158" t="s">
        <v>423</v>
      </c>
      <c r="HF1" s="159" t="s">
        <v>17</v>
      </c>
    </row>
    <row r="2" spans="1:214" ht="13.5" thickTop="1" x14ac:dyDescent="0.2">
      <c r="A2" s="420" t="s">
        <v>465</v>
      </c>
      <c r="B2" s="415">
        <v>6.8000000000000005E-2</v>
      </c>
      <c r="C2" s="416"/>
      <c r="D2" s="101" t="s">
        <v>18</v>
      </c>
      <c r="E2" s="101" t="s">
        <v>456</v>
      </c>
      <c r="F2" s="101" t="s">
        <v>19</v>
      </c>
      <c r="G2" s="261" t="s">
        <v>20</v>
      </c>
      <c r="H2" s="115" t="s">
        <v>456</v>
      </c>
      <c r="I2" s="115" t="s">
        <v>21</v>
      </c>
      <c r="J2" s="258" t="s">
        <v>11</v>
      </c>
      <c r="K2" s="107" t="s">
        <v>456</v>
      </c>
      <c r="L2" s="108" t="s">
        <v>22</v>
      </c>
      <c r="M2" s="120" t="s">
        <v>32</v>
      </c>
      <c r="N2" s="121" t="s">
        <v>33</v>
      </c>
      <c r="O2" s="131" t="s">
        <v>22</v>
      </c>
      <c r="P2" s="253" t="s">
        <v>32</v>
      </c>
      <c r="Q2" s="121" t="s">
        <v>33</v>
      </c>
      <c r="R2" s="131" t="s">
        <v>22</v>
      </c>
      <c r="S2" s="253" t="s">
        <v>32</v>
      </c>
      <c r="T2" s="121" t="s">
        <v>33</v>
      </c>
      <c r="U2" s="122" t="s">
        <v>22</v>
      </c>
      <c r="V2" s="91" t="s">
        <v>18</v>
      </c>
      <c r="W2" s="92" t="s">
        <v>456</v>
      </c>
      <c r="X2" s="92" t="s">
        <v>19</v>
      </c>
      <c r="Y2" s="249" t="s">
        <v>18</v>
      </c>
      <c r="Z2" s="92" t="s">
        <v>456</v>
      </c>
      <c r="AA2" s="93" t="s">
        <v>19</v>
      </c>
      <c r="AB2" s="150" t="s">
        <v>11</v>
      </c>
      <c r="AC2" s="244" t="s">
        <v>456</v>
      </c>
      <c r="AD2" s="83" t="s">
        <v>456</v>
      </c>
      <c r="AE2" s="244" t="s">
        <v>456</v>
      </c>
      <c r="AF2" s="244" t="s">
        <v>456</v>
      </c>
      <c r="AG2" s="83" t="s">
        <v>456</v>
      </c>
      <c r="AH2" s="164" t="s">
        <v>22</v>
      </c>
      <c r="AI2" s="136" t="s">
        <v>5</v>
      </c>
      <c r="AJ2" s="84" t="s">
        <v>34</v>
      </c>
      <c r="AK2" s="151" t="s">
        <v>22</v>
      </c>
      <c r="AL2" s="234" t="s">
        <v>5</v>
      </c>
      <c r="AM2" s="84" t="s">
        <v>34</v>
      </c>
      <c r="AN2" s="151" t="s">
        <v>22</v>
      </c>
      <c r="AO2" s="234" t="s">
        <v>5</v>
      </c>
      <c r="AP2" s="84" t="s">
        <v>34</v>
      </c>
      <c r="AQ2" s="137" t="s">
        <v>22</v>
      </c>
      <c r="AR2" s="144" t="s">
        <v>2</v>
      </c>
      <c r="AS2" s="86" t="s">
        <v>34</v>
      </c>
      <c r="AT2" s="152" t="s">
        <v>22</v>
      </c>
      <c r="AU2" s="237" t="s">
        <v>2</v>
      </c>
      <c r="AV2" s="86" t="s">
        <v>34</v>
      </c>
      <c r="AW2" s="152" t="s">
        <v>22</v>
      </c>
      <c r="AX2" s="237" t="s">
        <v>2</v>
      </c>
      <c r="AY2" s="86" t="s">
        <v>34</v>
      </c>
      <c r="AZ2" s="145" t="s">
        <v>22</v>
      </c>
      <c r="BA2" s="144" t="s">
        <v>4</v>
      </c>
      <c r="BB2" s="86" t="s">
        <v>34</v>
      </c>
      <c r="BC2" s="152" t="s">
        <v>22</v>
      </c>
      <c r="BD2" s="237" t="s">
        <v>4</v>
      </c>
      <c r="BE2" s="86" t="s">
        <v>34</v>
      </c>
      <c r="BF2" s="152" t="s">
        <v>22</v>
      </c>
      <c r="BG2" s="237" t="s">
        <v>4</v>
      </c>
      <c r="BH2" s="86" t="s">
        <v>34</v>
      </c>
      <c r="BI2" s="145" t="s">
        <v>22</v>
      </c>
      <c r="BJ2" s="144" t="s">
        <v>222</v>
      </c>
      <c r="BK2" s="86" t="s">
        <v>34</v>
      </c>
      <c r="BL2" s="152" t="s">
        <v>22</v>
      </c>
      <c r="BM2" s="237" t="s">
        <v>222</v>
      </c>
      <c r="BN2" s="86" t="s">
        <v>34</v>
      </c>
      <c r="BO2" s="152" t="s">
        <v>22</v>
      </c>
      <c r="BP2" s="237" t="s">
        <v>222</v>
      </c>
      <c r="BQ2" s="86" t="s">
        <v>34</v>
      </c>
      <c r="BR2" s="145" t="s">
        <v>22</v>
      </c>
      <c r="BS2" s="231" t="s">
        <v>18</v>
      </c>
      <c r="BT2" s="78" t="s">
        <v>456</v>
      </c>
      <c r="BU2" s="155" t="s">
        <v>19</v>
      </c>
      <c r="BV2" s="231" t="s">
        <v>23</v>
      </c>
      <c r="BW2" s="78" t="s">
        <v>456</v>
      </c>
      <c r="BX2" s="155" t="s">
        <v>21</v>
      </c>
      <c r="BY2" s="231" t="s">
        <v>11</v>
      </c>
      <c r="BZ2" s="78" t="s">
        <v>456</v>
      </c>
      <c r="CA2" s="155" t="s">
        <v>22</v>
      </c>
      <c r="CB2" s="231" t="s">
        <v>32</v>
      </c>
      <c r="CC2" s="78" t="s">
        <v>13</v>
      </c>
      <c r="CD2" s="155" t="s">
        <v>22</v>
      </c>
      <c r="CE2" s="231" t="s">
        <v>32</v>
      </c>
      <c r="CF2" s="78" t="s">
        <v>13</v>
      </c>
      <c r="CG2" s="155" t="s">
        <v>22</v>
      </c>
      <c r="CH2" s="231" t="s">
        <v>32</v>
      </c>
      <c r="CI2" s="78" t="s">
        <v>13</v>
      </c>
      <c r="CJ2" s="79" t="s">
        <v>22</v>
      </c>
      <c r="CK2" s="231" t="s">
        <v>303</v>
      </c>
      <c r="CL2" s="78"/>
      <c r="CM2" s="79" t="s">
        <v>22</v>
      </c>
      <c r="CN2" s="231" t="s">
        <v>11</v>
      </c>
      <c r="CO2" s="78"/>
      <c r="CP2" s="79" t="s">
        <v>22</v>
      </c>
      <c r="CQ2" s="231" t="s">
        <v>10</v>
      </c>
      <c r="CR2" s="78"/>
      <c r="CS2" s="79" t="s">
        <v>22</v>
      </c>
      <c r="CT2" s="385" t="s">
        <v>11</v>
      </c>
      <c r="CU2" s="386" t="s">
        <v>456</v>
      </c>
      <c r="CV2" s="387" t="s">
        <v>22</v>
      </c>
      <c r="CW2" s="266" t="s">
        <v>18</v>
      </c>
      <c r="CX2" s="175" t="s">
        <v>456</v>
      </c>
      <c r="CY2" s="175" t="s">
        <v>19</v>
      </c>
      <c r="CZ2" s="269" t="s">
        <v>20</v>
      </c>
      <c r="DA2" s="180" t="s">
        <v>456</v>
      </c>
      <c r="DB2" s="181" t="s">
        <v>25</v>
      </c>
      <c r="DC2" s="308" t="s">
        <v>26</v>
      </c>
      <c r="DD2" s="308" t="s">
        <v>456</v>
      </c>
      <c r="DE2" s="308" t="s">
        <v>25</v>
      </c>
      <c r="DF2" s="30" t="s">
        <v>26</v>
      </c>
      <c r="DG2" s="31" t="s">
        <v>456</v>
      </c>
      <c r="DH2" s="31" t="s">
        <v>29</v>
      </c>
      <c r="DI2" s="227" t="s">
        <v>26</v>
      </c>
      <c r="DJ2" s="31" t="s">
        <v>456</v>
      </c>
      <c r="DK2" s="31" t="s">
        <v>29</v>
      </c>
      <c r="DL2" s="227" t="s">
        <v>26</v>
      </c>
      <c r="DM2" s="31" t="s">
        <v>30</v>
      </c>
      <c r="DN2" s="31" t="s">
        <v>29</v>
      </c>
      <c r="DO2" s="227" t="s">
        <v>26</v>
      </c>
      <c r="DP2" s="31" t="s">
        <v>31</v>
      </c>
      <c r="DQ2" s="32" t="s">
        <v>29</v>
      </c>
      <c r="DR2" s="24" t="s">
        <v>27</v>
      </c>
      <c r="DS2" s="24" t="s">
        <v>456</v>
      </c>
      <c r="DT2" s="24" t="s">
        <v>25</v>
      </c>
      <c r="DU2" s="319" t="s">
        <v>27</v>
      </c>
      <c r="DV2" s="320" t="s">
        <v>456</v>
      </c>
      <c r="DW2" s="320" t="s">
        <v>29</v>
      </c>
      <c r="DX2" s="314" t="s">
        <v>27</v>
      </c>
      <c r="DY2" s="320" t="s">
        <v>456</v>
      </c>
      <c r="DZ2" s="320" t="s">
        <v>29</v>
      </c>
      <c r="EA2" s="314" t="s">
        <v>27</v>
      </c>
      <c r="EB2" s="320" t="s">
        <v>30</v>
      </c>
      <c r="EC2" s="320" t="s">
        <v>29</v>
      </c>
      <c r="ED2" s="314" t="s">
        <v>27</v>
      </c>
      <c r="EE2" s="320" t="s">
        <v>31</v>
      </c>
      <c r="EF2" s="321" t="s">
        <v>29</v>
      </c>
      <c r="EG2" s="19" t="s">
        <v>28</v>
      </c>
      <c r="EH2" s="19" t="s">
        <v>456</v>
      </c>
      <c r="EI2" s="19" t="s">
        <v>25</v>
      </c>
      <c r="EJ2" s="336" t="s">
        <v>28</v>
      </c>
      <c r="EK2" s="337" t="s">
        <v>456</v>
      </c>
      <c r="EL2" s="337" t="s">
        <v>29</v>
      </c>
      <c r="EM2" s="331" t="s">
        <v>28</v>
      </c>
      <c r="EN2" s="337" t="s">
        <v>456</v>
      </c>
      <c r="EO2" s="337" t="s">
        <v>29</v>
      </c>
      <c r="EP2" s="331" t="s">
        <v>28</v>
      </c>
      <c r="EQ2" s="337" t="s">
        <v>30</v>
      </c>
      <c r="ER2" s="337" t="s">
        <v>29</v>
      </c>
      <c r="ES2" s="331" t="s">
        <v>28</v>
      </c>
      <c r="ET2" s="337" t="s">
        <v>31</v>
      </c>
      <c r="EU2" s="338" t="s">
        <v>29</v>
      </c>
      <c r="EV2" s="38" t="s">
        <v>230</v>
      </c>
      <c r="EW2" s="38" t="s">
        <v>456</v>
      </c>
      <c r="EX2" s="38" t="s">
        <v>25</v>
      </c>
      <c r="EY2" s="195" t="s">
        <v>230</v>
      </c>
      <c r="EZ2" s="196" t="s">
        <v>456</v>
      </c>
      <c r="FA2" s="196" t="s">
        <v>29</v>
      </c>
      <c r="FB2" s="222" t="s">
        <v>230</v>
      </c>
      <c r="FC2" s="196" t="s">
        <v>456</v>
      </c>
      <c r="FD2" s="196" t="s">
        <v>29</v>
      </c>
      <c r="FE2" s="222" t="s">
        <v>230</v>
      </c>
      <c r="FF2" s="196" t="s">
        <v>30</v>
      </c>
      <c r="FG2" s="196" t="s">
        <v>29</v>
      </c>
      <c r="FH2" s="222" t="s">
        <v>230</v>
      </c>
      <c r="FI2" s="196" t="s">
        <v>31</v>
      </c>
      <c r="FJ2" s="197" t="s">
        <v>29</v>
      </c>
      <c r="FK2" s="44" t="s">
        <v>150</v>
      </c>
      <c r="FL2" s="45" t="s">
        <v>456</v>
      </c>
      <c r="FM2" s="46" t="s">
        <v>25</v>
      </c>
      <c r="FN2" s="207" t="s">
        <v>150</v>
      </c>
      <c r="FO2" s="208" t="s">
        <v>456</v>
      </c>
      <c r="FP2" s="208" t="s">
        <v>29</v>
      </c>
      <c r="FQ2" s="217" t="s">
        <v>150</v>
      </c>
      <c r="FR2" s="208" t="s">
        <v>456</v>
      </c>
      <c r="FS2" s="208" t="s">
        <v>29</v>
      </c>
      <c r="FT2" s="217" t="s">
        <v>150</v>
      </c>
      <c r="FU2" s="208" t="s">
        <v>30</v>
      </c>
      <c r="FV2" s="208" t="s">
        <v>29</v>
      </c>
      <c r="FW2" s="217" t="s">
        <v>150</v>
      </c>
      <c r="FX2" s="208" t="s">
        <v>31</v>
      </c>
      <c r="FY2" s="209" t="s">
        <v>29</v>
      </c>
      <c r="FZ2" s="56" t="s">
        <v>231</v>
      </c>
      <c r="GA2" s="57" t="s">
        <v>456</v>
      </c>
      <c r="GB2" s="58" t="s">
        <v>25</v>
      </c>
      <c r="GC2" s="275" t="s">
        <v>231</v>
      </c>
      <c r="GD2" s="276" t="s">
        <v>456</v>
      </c>
      <c r="GE2" s="276" t="s">
        <v>29</v>
      </c>
      <c r="GF2" s="285" t="s">
        <v>231</v>
      </c>
      <c r="GG2" s="276" t="s">
        <v>456</v>
      </c>
      <c r="GH2" s="276" t="s">
        <v>29</v>
      </c>
      <c r="GI2" s="285" t="s">
        <v>231</v>
      </c>
      <c r="GJ2" s="276" t="s">
        <v>30</v>
      </c>
      <c r="GK2" s="276" t="s">
        <v>29</v>
      </c>
      <c r="GL2" s="285" t="s">
        <v>231</v>
      </c>
      <c r="GM2" s="276" t="s">
        <v>31</v>
      </c>
      <c r="GN2" s="277" t="s">
        <v>29</v>
      </c>
      <c r="GO2" s="22" t="s">
        <v>232</v>
      </c>
      <c r="GP2" s="68" t="s">
        <v>456</v>
      </c>
      <c r="GQ2" s="69" t="s">
        <v>25</v>
      </c>
      <c r="GR2" s="290" t="s">
        <v>232</v>
      </c>
      <c r="GS2" s="291" t="s">
        <v>456</v>
      </c>
      <c r="GT2" s="291" t="s">
        <v>29</v>
      </c>
      <c r="GU2" s="297" t="s">
        <v>232</v>
      </c>
      <c r="GV2" s="291" t="s">
        <v>456</v>
      </c>
      <c r="GW2" s="291" t="s">
        <v>29</v>
      </c>
      <c r="GX2" s="297" t="s">
        <v>232</v>
      </c>
      <c r="GY2" s="291" t="s">
        <v>30</v>
      </c>
      <c r="GZ2" s="291" t="s">
        <v>29</v>
      </c>
      <c r="HA2" s="297" t="s">
        <v>232</v>
      </c>
      <c r="HB2" s="291" t="s">
        <v>31</v>
      </c>
      <c r="HC2" s="291" t="s">
        <v>29</v>
      </c>
      <c r="HD2" s="160" t="s">
        <v>22</v>
      </c>
      <c r="HE2" s="161" t="s">
        <v>33</v>
      </c>
      <c r="HF2" s="162" t="s">
        <v>35</v>
      </c>
    </row>
    <row r="3" spans="1:214" ht="13.5" thickBot="1" x14ac:dyDescent="0.25">
      <c r="A3" s="424" t="s">
        <v>105</v>
      </c>
      <c r="B3" s="417">
        <v>0.75600000000000001</v>
      </c>
      <c r="C3" s="418"/>
      <c r="D3" s="101" t="s">
        <v>36</v>
      </c>
      <c r="E3" s="408" t="e">
        <f>1/((1/E20)+(1/E21))</f>
        <v>#DIV/0!</v>
      </c>
      <c r="F3" s="168"/>
      <c r="G3" s="261"/>
      <c r="H3" s="408" t="e">
        <f>1/((1/H10)+(1/H11)+(1/H12)+(1/H13))</f>
        <v>#DIV/0!</v>
      </c>
      <c r="I3" s="167"/>
      <c r="J3" s="258"/>
      <c r="K3" s="408" t="e">
        <f>1/((1/K14)+(1/K15)+(1/K16+(1/K17)))</f>
        <v>#DIV/0!</v>
      </c>
      <c r="L3" s="110"/>
      <c r="M3" s="120" t="s">
        <v>475</v>
      </c>
      <c r="N3" s="123">
        <f>(N5*N6*N7)/((1-EXP(-N7*N6))*N10*N15*(N9/365)*N13*((N14*N12)+(N16*N11)))</f>
        <v>802.81137983683527</v>
      </c>
      <c r="O3" s="131"/>
      <c r="P3" s="253" t="s">
        <v>475</v>
      </c>
      <c r="Q3" s="123">
        <f>(Q5*Q6*Q7)/((1-EXP(-Q7*Q6))*Q10*Q15*(Q9/365)*Q13*((Q14*Q12)+(Q16*Q11)))</f>
        <v>5143.5415413416586</v>
      </c>
      <c r="R3" s="131"/>
      <c r="S3" s="253" t="s">
        <v>475</v>
      </c>
      <c r="T3" s="123">
        <f>(T5*T6*T7)/((1-EXP(-T7*T6))*T10*T15*(T9/365)*T13*((T14*T12)+(T16*T11)))</f>
        <v>1032.6210904180955</v>
      </c>
      <c r="U3" s="122"/>
      <c r="V3" s="91" t="s">
        <v>37</v>
      </c>
      <c r="W3" s="94" t="e">
        <f>1/((1/W18)+(1/W19))</f>
        <v>#DIV/0!</v>
      </c>
      <c r="X3" s="127"/>
      <c r="Y3" s="250" t="s">
        <v>37</v>
      </c>
      <c r="Z3" s="94" t="e">
        <f>1/((1/Z18)+(1/Z19))</f>
        <v>#DIV/0!</v>
      </c>
      <c r="AA3" s="95"/>
      <c r="AB3" s="150"/>
      <c r="AC3" s="245" t="e">
        <f>1/((1/AC37)+(1/AC38)+(1/AC39))</f>
        <v>#DIV/0!</v>
      </c>
      <c r="AD3" s="132" t="e">
        <f>1/((1/AD37)+(1/AD38)+(1/AD39))</f>
        <v>#DIV/0!</v>
      </c>
      <c r="AE3" s="245" t="e">
        <f>1/((1/AE37)+(1/AE38)+(1/AE39))</f>
        <v>#DIV/0!</v>
      </c>
      <c r="AF3" s="245" t="e">
        <f>1/((1/AF37)+(1/AF38)+(1/AF39))</f>
        <v>#DIV/0!</v>
      </c>
      <c r="AG3" s="132" t="e">
        <f>1/((1/AG37)+(1/AG39)+(1/AG40))</f>
        <v>#DIV/0!</v>
      </c>
      <c r="AH3" s="165"/>
      <c r="AI3" s="136" t="s">
        <v>475</v>
      </c>
      <c r="AJ3" s="85">
        <f>(AJ5*AJ6*AJ7)/((1-EXP(-AJ7*AJ6))*AJ10*AJ15*(AJ9/365)*AJ13*((AJ14*AJ12)+(AJ16*AJ11)))</f>
        <v>2254.6046720575018</v>
      </c>
      <c r="AK3" s="151"/>
      <c r="AL3" s="234" t="s">
        <v>475</v>
      </c>
      <c r="AM3" s="85">
        <f>(AM5*AM6*AM7)/((1-EXP(-AM7*AM6))*AM10*AM15*(AM9/365)*AM13*((AM14*AM12)+(AM16*AM11)))</f>
        <v>14327.914353687545</v>
      </c>
      <c r="AN3" s="151"/>
      <c r="AO3" s="234" t="s">
        <v>475</v>
      </c>
      <c r="AP3" s="85">
        <f>(AP5*AP6*AP7)/((1-EXP(-AP7*AP6))*AP10*AP15*(AP9/365)*AP13*((AP14*AP12)+(AP16*AP11)))</f>
        <v>2892.6929782849888</v>
      </c>
      <c r="AQ3" s="137"/>
      <c r="AR3" s="144" t="s">
        <v>475</v>
      </c>
      <c r="AS3" s="87">
        <f>(AS5*AS6*AS7)/((1-EXP(-AS7*AS6))*AS10*AS15*(AS9/365)*AS13*((AS14*AS12)+(AS16*AS11)))</f>
        <v>14735.978248741838</v>
      </c>
      <c r="AT3" s="152"/>
      <c r="AU3" s="237" t="s">
        <v>475</v>
      </c>
      <c r="AV3" s="87">
        <f>(AV5*AV6*AV7)/((1-EXP(-AV7*AV6))*AV10*AV15*(AV9/365)*AV13*((AV14*AV12)+(AV16*AV11)))</f>
        <v>171643.17884022219</v>
      </c>
      <c r="AW3" s="152"/>
      <c r="AX3" s="237" t="s">
        <v>475</v>
      </c>
      <c r="AY3" s="87">
        <f>(AY5*AY6*AY7)/((1-EXP(-AY7*AY6))*AY10*AY15*(AY9/365)*AY13*((AY14*AY12)+(AY16*AY11)))</f>
        <v>22014.406227435225</v>
      </c>
      <c r="AZ3" s="145"/>
      <c r="BA3" s="144" t="s">
        <v>475</v>
      </c>
      <c r="BB3" s="87">
        <f>(BB5*BB6*BB7)/((1-EXP(-BB7*BB6))*BB10*BB15*(BB9/365)*BB13*((BB14*BB12)+(BB16*BB11)))</f>
        <v>13262.380423867657</v>
      </c>
      <c r="BC3" s="152"/>
      <c r="BD3" s="237" t="s">
        <v>475</v>
      </c>
      <c r="BE3" s="87">
        <f>(BE5*BE6*BE7)/((1-EXP(-BE7*BE6))*BE10*BE15*(BE9/365)*BE13*((BE14*BE12)+(BE16*BE11)))</f>
        <v>154478.86095619996</v>
      </c>
      <c r="BF3" s="152"/>
      <c r="BG3" s="237" t="s">
        <v>475</v>
      </c>
      <c r="BH3" s="87">
        <f>(BH5*BH6*BH7)/((1-EXP(-BH7*BH6))*BH10*BH15*(BH9/365)*BH13*((BH14*BH12)+(BH16*BH11)))</f>
        <v>19812.965604691704</v>
      </c>
      <c r="BI3" s="145"/>
      <c r="BJ3" s="144" t="s">
        <v>475</v>
      </c>
      <c r="BK3" s="87">
        <f>(BK5*BK6*BK7)/((1-EXP(-BK7*BK6))*BK12*BK16*(BK9/365)*BK14*BK15*BK13)</f>
        <v>530.49521695470628</v>
      </c>
      <c r="BL3" s="152"/>
      <c r="BM3" s="237" t="s">
        <v>475</v>
      </c>
      <c r="BN3" s="87">
        <f>(BN5*BN6*BN7)/((1-EXP(-BN7*BN6))*BN12*BN16*(BN9/365)*BN14*BN15*BN13)</f>
        <v>6179.1544382479988</v>
      </c>
      <c r="BO3" s="152"/>
      <c r="BP3" s="237" t="s">
        <v>475</v>
      </c>
      <c r="BQ3" s="87">
        <f>(BQ5*BQ6*BQ7)/((1-EXP(-BQ7*BQ6))*BQ12*BQ16*(BQ9/365)*BQ14*BQ15*BQ13)</f>
        <v>792.51862418766825</v>
      </c>
      <c r="BR3" s="145"/>
      <c r="BS3" s="231" t="s">
        <v>36</v>
      </c>
      <c r="BT3" s="80" t="e">
        <f>1/((1/BT21)+(1/BT22))</f>
        <v>#DIV/0!</v>
      </c>
      <c r="BU3" s="155"/>
      <c r="BV3" s="231"/>
      <c r="BW3" s="80" t="e">
        <f>1/((1/BW10)+(1/BW12))</f>
        <v>#DIV/0!</v>
      </c>
      <c r="BX3" s="155"/>
      <c r="BY3" s="231"/>
      <c r="BZ3" s="80" t="e">
        <f>1/((1/BZ13)+(1/BZ14)+(1/BZ15))</f>
        <v>#DIV/0!</v>
      </c>
      <c r="CA3" s="155"/>
      <c r="CB3" s="231" t="s">
        <v>475</v>
      </c>
      <c r="CC3" s="80">
        <f>(CC5*CC6*CC7)/((1-EXP(-CC7*CC6))*CC10*CC14*(CC9/365)*CC12*(CC13/24)*CC11)</f>
        <v>367810.01708859636</v>
      </c>
      <c r="CD3" s="155"/>
      <c r="CE3" s="231" t="s">
        <v>475</v>
      </c>
      <c r="CF3" s="80">
        <f>(CF5*CF6*CF7)/((1-EXP(-CF7*CF6))*CF10*CF14*(CF9/365)*CF12*(CF13/24)*CF11)</f>
        <v>4284213.7438519457</v>
      </c>
      <c r="CG3" s="155"/>
      <c r="CH3" s="231" t="s">
        <v>475</v>
      </c>
      <c r="CI3" s="80">
        <f>(CI5*CI6*CI7)/((1-EXP(-CI7*CI6))*CI10*CI14*(CI9/365)*CI12*(CI13/24)*CI11)</f>
        <v>549479.57943678333</v>
      </c>
      <c r="CJ3" s="79"/>
      <c r="CK3" s="231" t="s">
        <v>456</v>
      </c>
      <c r="CL3" s="80" t="e">
        <f>CL5/(CL6*CL7*CL8*CL9)</f>
        <v>#DIV/0!</v>
      </c>
      <c r="CM3" s="79"/>
      <c r="CN3" s="231" t="s">
        <v>456</v>
      </c>
      <c r="CO3" s="80" t="e">
        <f>CL3/(CO5*((CO10*CO12*CO13*(CO6+CO7))+(CO11*CO12)))</f>
        <v>#DIV/0!</v>
      </c>
      <c r="CP3" s="79"/>
      <c r="CQ3" s="231" t="s">
        <v>456</v>
      </c>
      <c r="CR3" s="80" t="e">
        <f>CL3/(CR5*CR6*(1/CR7))</f>
        <v>#DIV/0!</v>
      </c>
      <c r="CS3" s="79"/>
      <c r="CT3" s="385"/>
      <c r="CU3" s="388" t="e">
        <f>1/((1/CU14)+(1/CU15)+(1/CU16+(1/CU17)))</f>
        <v>#DIV/0!</v>
      </c>
      <c r="CV3" s="389"/>
      <c r="CW3" s="266" t="s">
        <v>36</v>
      </c>
      <c r="CX3" s="176" t="e">
        <f>1/((1/CX20)+(1/CX21))</f>
        <v>#DIV/0!</v>
      </c>
      <c r="CY3" s="263"/>
      <c r="CZ3" s="270"/>
      <c r="DA3" s="182" t="e">
        <f>1/((1/DA13)+(1/DA14)+(1/DA15)+(1/DA16))</f>
        <v>#DIV/0!</v>
      </c>
      <c r="DB3" s="183"/>
      <c r="DC3" s="308"/>
      <c r="DD3" s="313" t="e">
        <f>DD7</f>
        <v>#DIV/0!</v>
      </c>
      <c r="DE3" s="309" t="s">
        <v>384</v>
      </c>
      <c r="DF3" s="30"/>
      <c r="DG3" s="33" t="e">
        <f>DD7/((1/DG24)*(DG5+DG6+DG7))</f>
        <v>#DIV/0!</v>
      </c>
      <c r="DH3" s="186" t="s">
        <v>384</v>
      </c>
      <c r="DI3" s="227"/>
      <c r="DJ3" s="33" t="e">
        <f>DD7/(DJ5+DJ6)</f>
        <v>#DIV/0!</v>
      </c>
      <c r="DK3" s="186" t="s">
        <v>384</v>
      </c>
      <c r="DL3" s="227"/>
      <c r="DM3" s="33" t="e">
        <f>(DD7)/(DM5+DM6)</f>
        <v>#DIV/0!</v>
      </c>
      <c r="DN3" s="186"/>
      <c r="DO3" s="227"/>
      <c r="DP3" s="33">
        <f>-(DP5+DP6+DP7)/(DP23+DP24)</f>
        <v>-49.755719687869203</v>
      </c>
      <c r="DQ3" s="34"/>
      <c r="DR3" s="24"/>
      <c r="DS3" s="25" t="e">
        <f>DS7</f>
        <v>#DIV/0!</v>
      </c>
      <c r="DT3" s="170" t="s">
        <v>384</v>
      </c>
      <c r="DU3" s="319"/>
      <c r="DV3" s="322" t="e">
        <f>DS7/(DV5*DV6)</f>
        <v>#DIV/0!</v>
      </c>
      <c r="DW3" s="323"/>
      <c r="DX3" s="314"/>
      <c r="DY3" s="322" t="e">
        <f>DS7/(DY9*((DY10*DY12*DY13*(DY5+DY6))+(DY11*DY12)))</f>
        <v>#DIV/0!</v>
      </c>
      <c r="DZ3" s="323" t="s">
        <v>384</v>
      </c>
      <c r="EA3" s="314"/>
      <c r="EB3" s="322" t="e">
        <f>DS7/(EB9*((EB10*EB12*EB13*(EB5+EB6))+(EB11*EB12)))</f>
        <v>#DIV/0!</v>
      </c>
      <c r="EC3" s="323"/>
      <c r="ED3" s="314"/>
      <c r="EE3" s="322">
        <f>-EE15/((EE10*EE12*EE13*(EE5+EE6))+(EE11*EE12))</f>
        <v>-19.848975188781015</v>
      </c>
      <c r="EF3" s="324"/>
      <c r="EG3" s="19"/>
      <c r="EH3" s="20" t="e">
        <f>EH7</f>
        <v>#DIV/0!</v>
      </c>
      <c r="EI3" s="189" t="s">
        <v>384</v>
      </c>
      <c r="EJ3" s="336"/>
      <c r="EK3" s="339" t="e">
        <f>EH7/(EK5*EK6)</f>
        <v>#DIV/0!</v>
      </c>
      <c r="EL3" s="340"/>
      <c r="EM3" s="331"/>
      <c r="EN3" s="339" t="e">
        <f>EH7/(EN9*((EN10*EN12*EN13*(EN5+EN6))+(EN11*EN12)))</f>
        <v>#DIV/0!</v>
      </c>
      <c r="EO3" s="340" t="s">
        <v>384</v>
      </c>
      <c r="EP3" s="331"/>
      <c r="EQ3" s="339" t="e">
        <f>EH7/(EQ9*((EQ10*EQ12*EQ13*(EQ5+EQ6))+(EQ11*EQ12)))</f>
        <v>#DIV/0!</v>
      </c>
      <c r="ER3" s="340"/>
      <c r="ES3" s="331"/>
      <c r="ET3" s="339">
        <f>-ET15/((ET10*ET12*ET13*(ET5+ET6))+(ET11*ET12))</f>
        <v>-15.9039759939985</v>
      </c>
      <c r="EU3" s="341"/>
      <c r="EV3" s="191"/>
      <c r="EW3" s="39" t="e">
        <f>EW7</f>
        <v>#DIV/0!</v>
      </c>
      <c r="EX3" s="191" t="s">
        <v>384</v>
      </c>
      <c r="EY3" s="198"/>
      <c r="EZ3" s="199" t="e">
        <f>EW7/(EZ5*EZ6*(1/EZ7))</f>
        <v>#DIV/0!</v>
      </c>
      <c r="FA3" s="199"/>
      <c r="FB3" s="223"/>
      <c r="FC3" s="199" t="e">
        <f>EW7/(FC9*((FC10*FC12*FC13*(FC5+FC6))+(FC11*FC12)))</f>
        <v>#DIV/0!</v>
      </c>
      <c r="FD3" s="220" t="s">
        <v>384</v>
      </c>
      <c r="FE3" s="225"/>
      <c r="FF3" s="199" t="e">
        <f>EW7/(FF9*(FF10*FF12*FF13*(FF5*FF6))+(FF11*FF12))</f>
        <v>#DIV/0!</v>
      </c>
      <c r="FG3" s="199"/>
      <c r="FH3" s="223"/>
      <c r="FI3" s="199">
        <f>FI15/((FI10*FI12*FI13*(FI5+FI6))+(FI11*FI12))</f>
        <v>5.4794520547945202</v>
      </c>
      <c r="FJ3" s="203"/>
      <c r="FK3" s="47"/>
      <c r="FL3" s="48" t="e">
        <f>FL7</f>
        <v>#DIV/0!</v>
      </c>
      <c r="FM3" s="49"/>
      <c r="FN3" s="210"/>
      <c r="FO3" s="211" t="e">
        <f>FL7/(FR5*(1/FO7))</f>
        <v>#DIV/0!</v>
      </c>
      <c r="FP3" s="211"/>
      <c r="FQ3" s="218"/>
      <c r="FR3" s="211" t="e">
        <f>(FL7*FR6)/FR5</f>
        <v>#DIV/0!</v>
      </c>
      <c r="FS3" s="211"/>
      <c r="FT3" s="218"/>
      <c r="FU3" s="211" t="e">
        <f>(FL7*FU15)/FU14</f>
        <v>#DIV/0!</v>
      </c>
      <c r="FV3" s="211"/>
      <c r="FW3" s="218"/>
      <c r="FX3" s="211">
        <f>-FX29/FX30</f>
        <v>-8.199999999999999E-3</v>
      </c>
      <c r="FY3" s="212"/>
      <c r="FZ3" s="59"/>
      <c r="GA3" s="60" t="e">
        <f>GA7</f>
        <v>#DIV/0!</v>
      </c>
      <c r="GB3" s="61" t="s">
        <v>384</v>
      </c>
      <c r="GC3" s="278"/>
      <c r="GD3" s="279" t="e">
        <f>FL7/(GD5*GD6*(1/GD7))</f>
        <v>#DIV/0!</v>
      </c>
      <c r="GE3" s="279"/>
      <c r="GF3" s="286"/>
      <c r="GG3" s="279" t="e">
        <f>GA7/((GG9)*((GG10*GG12*GG13*(GG5+GG6))+(GG11*GG12)))</f>
        <v>#DIV/0!</v>
      </c>
      <c r="GH3" s="279" t="s">
        <v>384</v>
      </c>
      <c r="GI3" s="286"/>
      <c r="GJ3" s="279" t="e">
        <f>FL7/(GJ9*(GJ10*GJ12*GJ13*(GJ5*GJ6))+(GJ11*GJ12))</f>
        <v>#DIV/0!</v>
      </c>
      <c r="GK3" s="279"/>
      <c r="GL3" s="286"/>
      <c r="GM3" s="279">
        <f>GM15/((GM10*GM12*GM13*(GM5+GM6))+(GM11*GM12))</f>
        <v>5.4794520547945202</v>
      </c>
      <c r="GN3" s="280"/>
      <c r="GO3" s="70"/>
      <c r="GP3" s="71" t="e">
        <f>GP7</f>
        <v>#DIV/0!</v>
      </c>
      <c r="GQ3" s="72" t="s">
        <v>384</v>
      </c>
      <c r="GR3" s="292"/>
      <c r="GS3" s="293" t="e">
        <f>GP7/(GS5*GS6*(1/GS7))</f>
        <v>#DIV/0!</v>
      </c>
      <c r="GT3" s="293"/>
      <c r="GU3" s="298"/>
      <c r="GV3" s="293" t="e">
        <f>GP7/((GV9)*((GV10*GV12*GV13*(GV5+GV6))+(GV11*GV12)))</f>
        <v>#DIV/0!</v>
      </c>
      <c r="GW3" s="293" t="s">
        <v>384</v>
      </c>
      <c r="GX3" s="298"/>
      <c r="GY3" s="293" t="e">
        <f>GP7/((GY9*((GY10*GY12*GY13*(GY5+GY6))+(GY11*GY12))))</f>
        <v>#DIV/0!</v>
      </c>
      <c r="GZ3" s="293"/>
      <c r="HA3" s="298"/>
      <c r="HB3" s="293" t="e">
        <f>GP7/((HB10*HB12*HB13*(HB5+HB6))+(HB11*HB12))</f>
        <v>#DIV/0!</v>
      </c>
      <c r="HC3" s="300"/>
      <c r="HD3" s="302">
        <f>HE5*HE13*10^-3*(HE14+(HE9/HE10))*((HE11*HE7)/(1-EXP(-HE7*HE11)))</f>
        <v>2162.1599999999989</v>
      </c>
      <c r="HE3" s="303"/>
      <c r="HF3" s="162" t="s">
        <v>38</v>
      </c>
    </row>
    <row r="4" spans="1:214" ht="14.25" thickTop="1" thickBot="1" x14ac:dyDescent="0.25">
      <c r="A4" s="439" t="s">
        <v>425</v>
      </c>
      <c r="B4" s="440"/>
      <c r="C4" s="441"/>
      <c r="D4" s="425" t="s">
        <v>37</v>
      </c>
      <c r="E4" s="409" t="e">
        <f>1/((1/E22)+(1/E23))</f>
        <v>#DIV/0!</v>
      </c>
      <c r="F4" s="256"/>
      <c r="G4" s="262"/>
      <c r="H4" s="116"/>
      <c r="I4" s="255"/>
      <c r="J4" s="259" t="s">
        <v>0</v>
      </c>
      <c r="K4" s="112" t="s">
        <v>33</v>
      </c>
      <c r="L4" s="113"/>
      <c r="M4" s="124"/>
      <c r="N4" s="125"/>
      <c r="O4" s="169"/>
      <c r="P4" s="254"/>
      <c r="Q4" s="125"/>
      <c r="R4" s="169"/>
      <c r="S4" s="254"/>
      <c r="T4" s="125"/>
      <c r="U4" s="126"/>
      <c r="V4" s="130" t="s">
        <v>36</v>
      </c>
      <c r="W4" s="96" t="e">
        <f>1/((1/W16)+(1/W17))</f>
        <v>#DIV/0!</v>
      </c>
      <c r="X4" s="128"/>
      <c r="Y4" s="251" t="s">
        <v>36</v>
      </c>
      <c r="Z4" s="96" t="e">
        <f>1/((1/Z16)+(1/Z17))</f>
        <v>#DIV/0!</v>
      </c>
      <c r="AA4" s="97"/>
      <c r="AB4" s="239" t="s">
        <v>0</v>
      </c>
      <c r="AC4" s="246" t="s">
        <v>39</v>
      </c>
      <c r="AD4" s="241" t="s">
        <v>40</v>
      </c>
      <c r="AE4" s="246" t="s">
        <v>41</v>
      </c>
      <c r="AF4" s="247" t="s">
        <v>42</v>
      </c>
      <c r="AG4" s="242" t="s">
        <v>42</v>
      </c>
      <c r="AH4" s="166"/>
      <c r="AI4" s="138" t="s">
        <v>32</v>
      </c>
      <c r="AJ4" s="139"/>
      <c r="AK4" s="153"/>
      <c r="AL4" s="235" t="s">
        <v>32</v>
      </c>
      <c r="AM4" s="139"/>
      <c r="AN4" s="153"/>
      <c r="AO4" s="235" t="s">
        <v>32</v>
      </c>
      <c r="AP4" s="139"/>
      <c r="AQ4" s="140"/>
      <c r="AR4" s="146" t="s">
        <v>32</v>
      </c>
      <c r="AS4" s="147"/>
      <c r="AT4" s="154"/>
      <c r="AU4" s="238" t="s">
        <v>32</v>
      </c>
      <c r="AV4" s="147"/>
      <c r="AW4" s="154"/>
      <c r="AX4" s="238" t="s">
        <v>32</v>
      </c>
      <c r="AY4" s="147"/>
      <c r="AZ4" s="148"/>
      <c r="BA4" s="146" t="s">
        <v>32</v>
      </c>
      <c r="BB4" s="147"/>
      <c r="BC4" s="154"/>
      <c r="BD4" s="238" t="s">
        <v>32</v>
      </c>
      <c r="BE4" s="147"/>
      <c r="BF4" s="154"/>
      <c r="BG4" s="238" t="s">
        <v>32</v>
      </c>
      <c r="BH4" s="147"/>
      <c r="BI4" s="148"/>
      <c r="BJ4" s="146" t="s">
        <v>32</v>
      </c>
      <c r="BK4" s="147"/>
      <c r="BL4" s="154"/>
      <c r="BM4" s="238" t="s">
        <v>32</v>
      </c>
      <c r="BN4" s="147"/>
      <c r="BO4" s="154"/>
      <c r="BP4" s="238" t="s">
        <v>32</v>
      </c>
      <c r="BQ4" s="147"/>
      <c r="BR4" s="148"/>
      <c r="BS4" s="232" t="s">
        <v>37</v>
      </c>
      <c r="BT4" s="81" t="e">
        <f>1/((1/BT23)+(1/BT24))</f>
        <v>#DIV/0!</v>
      </c>
      <c r="BU4" s="156"/>
      <c r="BV4" s="232"/>
      <c r="BW4" s="81"/>
      <c r="BX4" s="156"/>
      <c r="BY4" s="232" t="s">
        <v>0</v>
      </c>
      <c r="BZ4" s="81" t="s">
        <v>33</v>
      </c>
      <c r="CA4" s="156"/>
      <c r="CB4" s="232"/>
      <c r="CC4" s="81"/>
      <c r="CD4" s="156"/>
      <c r="CE4" s="232"/>
      <c r="CF4" s="81"/>
      <c r="CG4" s="156"/>
      <c r="CH4" s="232"/>
      <c r="CI4" s="81"/>
      <c r="CJ4" s="82"/>
      <c r="CK4" s="232"/>
      <c r="CL4" s="81"/>
      <c r="CM4" s="82"/>
      <c r="CN4" s="232"/>
      <c r="CO4" s="81"/>
      <c r="CP4" s="82"/>
      <c r="CQ4" s="232"/>
      <c r="CR4" s="81"/>
      <c r="CS4" s="82"/>
      <c r="CT4" s="390" t="s">
        <v>0</v>
      </c>
      <c r="CU4" s="391" t="s">
        <v>9</v>
      </c>
      <c r="CV4" s="392"/>
      <c r="CW4" s="267" t="s">
        <v>37</v>
      </c>
      <c r="CX4" s="177" t="e">
        <f>1/((1/CX22)+(1/CX23))</f>
        <v>#DIV/0!</v>
      </c>
      <c r="CY4" s="264"/>
      <c r="CZ4" s="271"/>
      <c r="DA4" s="184"/>
      <c r="DB4" s="185"/>
      <c r="DC4" s="310"/>
      <c r="DD4" s="311"/>
      <c r="DE4" s="312"/>
      <c r="DF4" s="35"/>
      <c r="DG4" s="36"/>
      <c r="DH4" s="173"/>
      <c r="DI4" s="229"/>
      <c r="DJ4" s="36"/>
      <c r="DK4" s="187"/>
      <c r="DL4" s="229"/>
      <c r="DM4" s="36"/>
      <c r="DN4" s="173"/>
      <c r="DO4" s="229"/>
      <c r="DP4" s="36"/>
      <c r="DQ4" s="228"/>
      <c r="DR4" s="188"/>
      <c r="DS4" s="26"/>
      <c r="DT4" s="171"/>
      <c r="DU4" s="325"/>
      <c r="DV4" s="326"/>
      <c r="DW4" s="327"/>
      <c r="DX4" s="328"/>
      <c r="DY4" s="326"/>
      <c r="DZ4" s="329"/>
      <c r="EA4" s="328"/>
      <c r="EB4" s="326"/>
      <c r="EC4" s="327"/>
      <c r="ED4" s="328"/>
      <c r="EE4" s="326"/>
      <c r="EF4" s="330"/>
      <c r="EG4" s="172"/>
      <c r="EH4" s="21"/>
      <c r="EI4" s="190"/>
      <c r="EJ4" s="342"/>
      <c r="EK4" s="343"/>
      <c r="EL4" s="344"/>
      <c r="EM4" s="345"/>
      <c r="EN4" s="343"/>
      <c r="EO4" s="346"/>
      <c r="EP4" s="345"/>
      <c r="EQ4" s="343"/>
      <c r="ER4" s="344"/>
      <c r="ES4" s="345"/>
      <c r="ET4" s="343"/>
      <c r="EU4" s="347"/>
      <c r="EV4" s="40"/>
      <c r="EW4" s="40"/>
      <c r="EX4" s="40"/>
      <c r="EY4" s="200"/>
      <c r="EZ4" s="201"/>
      <c r="FA4" s="201"/>
      <c r="FB4" s="224"/>
      <c r="FC4" s="201"/>
      <c r="FD4" s="201"/>
      <c r="FE4" s="224"/>
      <c r="FF4" s="201"/>
      <c r="FG4" s="201"/>
      <c r="FH4" s="224"/>
      <c r="FI4" s="201"/>
      <c r="FJ4" s="202"/>
      <c r="FK4" s="50"/>
      <c r="FL4" s="51" t="s">
        <v>384</v>
      </c>
      <c r="FM4" s="52"/>
      <c r="FN4" s="213"/>
      <c r="FO4" s="214"/>
      <c r="FP4" s="214"/>
      <c r="FQ4" s="219"/>
      <c r="FR4" s="214" t="s">
        <v>384</v>
      </c>
      <c r="FS4" s="214"/>
      <c r="FT4" s="219"/>
      <c r="FU4" s="214"/>
      <c r="FV4" s="214"/>
      <c r="FW4" s="219"/>
      <c r="FX4" s="214"/>
      <c r="FY4" s="215"/>
      <c r="FZ4" s="62"/>
      <c r="GA4" s="63"/>
      <c r="GB4" s="64"/>
      <c r="GC4" s="281"/>
      <c r="GD4" s="282"/>
      <c r="GE4" s="282"/>
      <c r="GF4" s="287"/>
      <c r="GG4" s="282"/>
      <c r="GH4" s="282"/>
      <c r="GI4" s="287"/>
      <c r="GJ4" s="282"/>
      <c r="GK4" s="282"/>
      <c r="GL4" s="287"/>
      <c r="GM4" s="282"/>
      <c r="GN4" s="283"/>
      <c r="GO4" s="73"/>
      <c r="GP4" s="74"/>
      <c r="GQ4" s="75"/>
      <c r="GR4" s="294"/>
      <c r="GS4" s="295"/>
      <c r="GT4" s="295"/>
      <c r="GU4" s="299"/>
      <c r="GV4" s="295"/>
      <c r="GW4" s="295"/>
      <c r="GX4" s="299"/>
      <c r="GY4" s="295"/>
      <c r="GZ4" s="295"/>
      <c r="HA4" s="299"/>
      <c r="HB4" s="295"/>
      <c r="HC4" s="301"/>
      <c r="HD4" s="304" t="e">
        <f>HE6*HE13*10^-3*(HE14+(HE9/HE10))*((HE11*HE7)/(1-EXP(-HE7*HE11)))</f>
        <v>#DIV/0!</v>
      </c>
      <c r="HE4" s="305"/>
      <c r="HF4" s="306" t="s">
        <v>43</v>
      </c>
    </row>
    <row r="5" spans="1:214" ht="13.5" thickTop="1" x14ac:dyDescent="0.2">
      <c r="A5" s="420" t="s">
        <v>486</v>
      </c>
      <c r="B5" s="415">
        <v>3.7100000000000001E-2</v>
      </c>
      <c r="C5" s="416"/>
      <c r="D5" t="s">
        <v>485</v>
      </c>
      <c r="E5" s="1">
        <v>1</v>
      </c>
      <c r="G5" t="s">
        <v>485</v>
      </c>
      <c r="H5" s="1">
        <v>1</v>
      </c>
      <c r="J5" t="s">
        <v>485</v>
      </c>
      <c r="K5" s="1">
        <v>1</v>
      </c>
      <c r="M5" t="s">
        <v>485</v>
      </c>
      <c r="N5" s="1">
        <v>1</v>
      </c>
      <c r="P5" t="s">
        <v>485</v>
      </c>
      <c r="Q5" s="1">
        <v>1</v>
      </c>
      <c r="S5" t="s">
        <v>485</v>
      </c>
      <c r="T5" s="1">
        <v>1</v>
      </c>
      <c r="V5" t="s">
        <v>458</v>
      </c>
      <c r="W5" s="1">
        <v>1</v>
      </c>
      <c r="X5" t="s">
        <v>459</v>
      </c>
      <c r="Y5" t="s">
        <v>458</v>
      </c>
      <c r="Z5" s="1">
        <v>1</v>
      </c>
      <c r="AA5" t="s">
        <v>459</v>
      </c>
      <c r="AB5" t="s">
        <v>458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t="s">
        <v>459</v>
      </c>
      <c r="AI5" t="s">
        <v>458</v>
      </c>
      <c r="AJ5" s="1">
        <v>1</v>
      </c>
      <c r="AK5" t="s">
        <v>459</v>
      </c>
      <c r="AL5" t="s">
        <v>458</v>
      </c>
      <c r="AM5" s="1">
        <v>1</v>
      </c>
      <c r="AN5" t="s">
        <v>459</v>
      </c>
      <c r="AO5" t="s">
        <v>458</v>
      </c>
      <c r="AP5" s="1">
        <v>1</v>
      </c>
      <c r="AQ5" t="s">
        <v>459</v>
      </c>
      <c r="AR5" t="s">
        <v>458</v>
      </c>
      <c r="AS5" s="1">
        <v>1</v>
      </c>
      <c r="AT5" t="s">
        <v>459</v>
      </c>
      <c r="AU5" t="s">
        <v>458</v>
      </c>
      <c r="AV5" s="1">
        <v>1</v>
      </c>
      <c r="AW5" t="s">
        <v>459</v>
      </c>
      <c r="AX5" t="s">
        <v>458</v>
      </c>
      <c r="AY5" s="1">
        <v>1</v>
      </c>
      <c r="AZ5" t="s">
        <v>459</v>
      </c>
      <c r="BA5" t="s">
        <v>458</v>
      </c>
      <c r="BB5" s="1">
        <v>1</v>
      </c>
      <c r="BC5" t="s">
        <v>459</v>
      </c>
      <c r="BD5" t="s">
        <v>458</v>
      </c>
      <c r="BE5" s="1">
        <v>1</v>
      </c>
      <c r="BF5" t="s">
        <v>459</v>
      </c>
      <c r="BG5" t="s">
        <v>458</v>
      </c>
      <c r="BH5" s="1">
        <v>1</v>
      </c>
      <c r="BI5" t="s">
        <v>459</v>
      </c>
      <c r="BJ5" t="s">
        <v>458</v>
      </c>
      <c r="BK5" s="1">
        <v>1</v>
      </c>
      <c r="BL5" t="s">
        <v>459</v>
      </c>
      <c r="BM5" t="s">
        <v>458</v>
      </c>
      <c r="BN5" s="1">
        <v>1</v>
      </c>
      <c r="BO5" t="s">
        <v>459</v>
      </c>
      <c r="BP5" t="s">
        <v>458</v>
      </c>
      <c r="BQ5" s="1">
        <v>1</v>
      </c>
      <c r="BR5" t="s">
        <v>459</v>
      </c>
      <c r="BS5" t="s">
        <v>458</v>
      </c>
      <c r="BT5" s="1">
        <v>1</v>
      </c>
      <c r="BU5" t="s">
        <v>459</v>
      </c>
      <c r="BV5" t="s">
        <v>458</v>
      </c>
      <c r="BW5" s="1">
        <v>1</v>
      </c>
      <c r="BX5" t="s">
        <v>459</v>
      </c>
      <c r="BY5" t="s">
        <v>458</v>
      </c>
      <c r="BZ5" s="1">
        <v>1</v>
      </c>
      <c r="CA5" t="s">
        <v>459</v>
      </c>
      <c r="CB5" t="s">
        <v>458</v>
      </c>
      <c r="CC5" s="1">
        <v>1</v>
      </c>
      <c r="CD5" t="s">
        <v>459</v>
      </c>
      <c r="CE5" t="s">
        <v>458</v>
      </c>
      <c r="CF5" s="1">
        <v>1</v>
      </c>
      <c r="CG5" t="s">
        <v>459</v>
      </c>
      <c r="CH5" t="s">
        <v>458</v>
      </c>
      <c r="CI5" s="1">
        <v>1</v>
      </c>
      <c r="CJ5" t="s">
        <v>459</v>
      </c>
      <c r="CK5" t="s">
        <v>485</v>
      </c>
      <c r="CL5" s="1">
        <v>1</v>
      </c>
      <c r="CM5" s="2"/>
      <c r="CN5" t="s">
        <v>395</v>
      </c>
      <c r="CO5" s="1">
        <f>B39</f>
        <v>0</v>
      </c>
      <c r="CQ5" t="s">
        <v>395</v>
      </c>
      <c r="CR5">
        <f>CO5</f>
        <v>0</v>
      </c>
      <c r="CT5" t="s">
        <v>458</v>
      </c>
      <c r="CU5" s="1">
        <v>1</v>
      </c>
      <c r="CV5" t="s">
        <v>459</v>
      </c>
      <c r="CW5" t="s">
        <v>458</v>
      </c>
      <c r="CX5" s="1">
        <v>1</v>
      </c>
      <c r="CY5" t="s">
        <v>459</v>
      </c>
      <c r="CZ5" t="s">
        <v>458</v>
      </c>
      <c r="DA5" s="1">
        <v>1</v>
      </c>
      <c r="DB5" t="s">
        <v>459</v>
      </c>
      <c r="DC5" t="s">
        <v>458</v>
      </c>
      <c r="DD5" s="1">
        <v>1</v>
      </c>
      <c r="DE5" t="s">
        <v>459</v>
      </c>
      <c r="DF5" t="s">
        <v>44</v>
      </c>
      <c r="DG5">
        <f>(DG8*DG9*DG10*((1-EXP(-DG11*DG12))))/(DG13*DG11)</f>
        <v>0</v>
      </c>
      <c r="DH5" t="s">
        <v>45</v>
      </c>
      <c r="DI5" t="s">
        <v>46</v>
      </c>
      <c r="DJ5">
        <f>DJ7</f>
        <v>0</v>
      </c>
      <c r="DL5" t="s">
        <v>46</v>
      </c>
      <c r="DM5">
        <f>DM7</f>
        <v>0</v>
      </c>
      <c r="DO5" t="s">
        <v>44</v>
      </c>
      <c r="DP5">
        <f>(DP8*DP9*DP10*((1-EXP(-DP11*DP12))))/(DP13*DP11)</f>
        <v>0</v>
      </c>
      <c r="DQ5" t="s">
        <v>45</v>
      </c>
      <c r="DR5" t="s">
        <v>458</v>
      </c>
      <c r="DS5" s="1">
        <v>1</v>
      </c>
      <c r="DT5" t="s">
        <v>459</v>
      </c>
      <c r="DU5" t="s">
        <v>317</v>
      </c>
      <c r="DV5" s="1">
        <f>B35</f>
        <v>0</v>
      </c>
      <c r="DX5" t="s">
        <v>47</v>
      </c>
      <c r="DY5">
        <f>DY7</f>
        <v>0</v>
      </c>
      <c r="EA5" t="s">
        <v>47</v>
      </c>
      <c r="EB5">
        <f>EB7</f>
        <v>0</v>
      </c>
      <c r="ED5" t="s">
        <v>47</v>
      </c>
      <c r="EE5">
        <f>EE7</f>
        <v>0</v>
      </c>
      <c r="EG5" t="s">
        <v>458</v>
      </c>
      <c r="EH5" s="1">
        <v>1</v>
      </c>
      <c r="EI5" t="s">
        <v>459</v>
      </c>
      <c r="EJ5" t="s">
        <v>318</v>
      </c>
      <c r="EK5" s="1">
        <f>B36</f>
        <v>0</v>
      </c>
      <c r="EM5" t="s">
        <v>47</v>
      </c>
      <c r="EN5">
        <f>EN7</f>
        <v>0</v>
      </c>
      <c r="EP5" t="s">
        <v>47</v>
      </c>
      <c r="EQ5">
        <f>EQ7</f>
        <v>0</v>
      </c>
      <c r="ES5" t="s">
        <v>47</v>
      </c>
      <c r="ET5">
        <f>ET7</f>
        <v>0</v>
      </c>
      <c r="EV5" t="s">
        <v>458</v>
      </c>
      <c r="EW5" s="1">
        <v>1</v>
      </c>
      <c r="EX5" t="s">
        <v>459</v>
      </c>
      <c r="EY5" t="s">
        <v>319</v>
      </c>
      <c r="EZ5" s="406">
        <f>B38</f>
        <v>0</v>
      </c>
      <c r="FB5" t="s">
        <v>47</v>
      </c>
      <c r="FC5">
        <f>FC7</f>
        <v>5.0000000000000001E-3</v>
      </c>
      <c r="FE5" t="s">
        <v>47</v>
      </c>
      <c r="FF5">
        <f>FF7</f>
        <v>5.0000000000000001E-3</v>
      </c>
      <c r="FH5" t="s">
        <v>47</v>
      </c>
      <c r="FI5">
        <f>FI7</f>
        <v>5.0000000000000001E-3</v>
      </c>
      <c r="FK5" t="s">
        <v>458</v>
      </c>
      <c r="FL5" s="1">
        <v>1</v>
      </c>
      <c r="FM5" t="s">
        <v>459</v>
      </c>
      <c r="FN5" t="s">
        <v>320</v>
      </c>
      <c r="FO5" s="17">
        <v>1</v>
      </c>
      <c r="FQ5" t="s">
        <v>186</v>
      </c>
      <c r="FR5" s="1">
        <f>B34</f>
        <v>0</v>
      </c>
      <c r="FT5" t="s">
        <v>47</v>
      </c>
      <c r="FU5">
        <f>FU7</f>
        <v>0.2</v>
      </c>
      <c r="FW5" t="s">
        <v>47</v>
      </c>
      <c r="FX5">
        <f>FX7</f>
        <v>0.2</v>
      </c>
      <c r="FZ5" t="s">
        <v>458</v>
      </c>
      <c r="GA5" s="1">
        <v>1</v>
      </c>
      <c r="GB5" t="s">
        <v>459</v>
      </c>
      <c r="GC5" t="s">
        <v>321</v>
      </c>
      <c r="GD5" s="406">
        <f>B37</f>
        <v>0</v>
      </c>
      <c r="GF5" t="s">
        <v>47</v>
      </c>
      <c r="GG5">
        <f>GG7</f>
        <v>5.0000000000000001E-3</v>
      </c>
      <c r="GI5" t="s">
        <v>47</v>
      </c>
      <c r="GJ5">
        <f>GJ7</f>
        <v>5.0000000000000001E-3</v>
      </c>
      <c r="GL5" t="s">
        <v>47</v>
      </c>
      <c r="GM5">
        <f>GM7</f>
        <v>5.0000000000000001E-3</v>
      </c>
      <c r="GO5" t="s">
        <v>458</v>
      </c>
      <c r="GP5" s="1">
        <v>1</v>
      </c>
      <c r="GQ5" t="s">
        <v>459</v>
      </c>
      <c r="GR5" t="s">
        <v>322</v>
      </c>
      <c r="GS5" s="406">
        <f>B39</f>
        <v>0</v>
      </c>
      <c r="GU5" t="s">
        <v>47</v>
      </c>
      <c r="GV5">
        <f>GV7</f>
        <v>5.0000000000000001E-3</v>
      </c>
      <c r="GX5" t="s">
        <v>47</v>
      </c>
      <c r="GY5">
        <f>GY7</f>
        <v>5.0000000000000001E-3</v>
      </c>
      <c r="HA5" t="s">
        <v>47</v>
      </c>
      <c r="HB5">
        <f>HB7</f>
        <v>5.0000000000000001E-3</v>
      </c>
      <c r="HD5" s="2" t="s">
        <v>48</v>
      </c>
      <c r="HE5">
        <v>15</v>
      </c>
      <c r="HF5" t="s">
        <v>24</v>
      </c>
    </row>
    <row r="6" spans="1:214" x14ac:dyDescent="0.2">
      <c r="A6" s="424" t="s">
        <v>426</v>
      </c>
      <c r="B6" s="417">
        <v>0.65</v>
      </c>
      <c r="C6" s="418"/>
      <c r="D6" t="s">
        <v>49</v>
      </c>
      <c r="E6" s="1">
        <f>0.693/E7</f>
        <v>6.3E-5</v>
      </c>
      <c r="G6" t="s">
        <v>437</v>
      </c>
      <c r="H6" s="1">
        <f>B18</f>
        <v>0</v>
      </c>
      <c r="I6" t="s">
        <v>61</v>
      </c>
      <c r="J6" t="s">
        <v>438</v>
      </c>
      <c r="K6" s="1">
        <f>B19</f>
        <v>0</v>
      </c>
      <c r="L6" t="s">
        <v>61</v>
      </c>
      <c r="M6" t="s">
        <v>58</v>
      </c>
      <c r="N6">
        <v>26</v>
      </c>
      <c r="O6" t="s">
        <v>59</v>
      </c>
      <c r="P6" t="s">
        <v>58</v>
      </c>
      <c r="Q6">
        <v>26</v>
      </c>
      <c r="R6" t="s">
        <v>59</v>
      </c>
      <c r="S6" t="s">
        <v>58</v>
      </c>
      <c r="T6">
        <v>26</v>
      </c>
      <c r="U6" t="s">
        <v>59</v>
      </c>
      <c r="V6" t="s">
        <v>49</v>
      </c>
      <c r="W6" s="1">
        <f>0.693/W7</f>
        <v>65.999999999999986</v>
      </c>
      <c r="Y6" t="s">
        <v>49</v>
      </c>
      <c r="Z6" s="1">
        <f>0.693/Z7</f>
        <v>65.999999999999986</v>
      </c>
      <c r="AC6">
        <v>1000</v>
      </c>
      <c r="AD6">
        <v>1000</v>
      </c>
      <c r="AE6">
        <v>1000</v>
      </c>
      <c r="AF6">
        <v>1000</v>
      </c>
      <c r="AG6">
        <v>1000</v>
      </c>
      <c r="AH6" t="s">
        <v>50</v>
      </c>
      <c r="AI6" t="s">
        <v>58</v>
      </c>
      <c r="AJ6">
        <v>25</v>
      </c>
      <c r="AK6" t="s">
        <v>59</v>
      </c>
      <c r="AL6" t="s">
        <v>58</v>
      </c>
      <c r="AM6">
        <v>25</v>
      </c>
      <c r="AN6" t="s">
        <v>59</v>
      </c>
      <c r="AO6" t="s">
        <v>58</v>
      </c>
      <c r="AP6">
        <v>25</v>
      </c>
      <c r="AQ6" t="s">
        <v>59</v>
      </c>
      <c r="AR6" t="s">
        <v>58</v>
      </c>
      <c r="AS6">
        <v>25</v>
      </c>
      <c r="AT6" t="s">
        <v>59</v>
      </c>
      <c r="AU6" t="s">
        <v>58</v>
      </c>
      <c r="AV6">
        <v>25</v>
      </c>
      <c r="AW6" t="s">
        <v>59</v>
      </c>
      <c r="AX6" t="s">
        <v>58</v>
      </c>
      <c r="AY6">
        <v>25</v>
      </c>
      <c r="AZ6" t="s">
        <v>59</v>
      </c>
      <c r="BA6" t="s">
        <v>58</v>
      </c>
      <c r="BB6">
        <v>25</v>
      </c>
      <c r="BC6" t="s">
        <v>59</v>
      </c>
      <c r="BD6" t="s">
        <v>58</v>
      </c>
      <c r="BE6">
        <v>25</v>
      </c>
      <c r="BF6" t="s">
        <v>59</v>
      </c>
      <c r="BG6" t="s">
        <v>58</v>
      </c>
      <c r="BH6">
        <v>25</v>
      </c>
      <c r="BI6" t="s">
        <v>59</v>
      </c>
      <c r="BJ6" t="s">
        <v>58</v>
      </c>
      <c r="BK6">
        <v>1</v>
      </c>
      <c r="BL6" t="s">
        <v>59</v>
      </c>
      <c r="BM6" t="s">
        <v>58</v>
      </c>
      <c r="BN6">
        <v>1</v>
      </c>
      <c r="BO6" t="s">
        <v>59</v>
      </c>
      <c r="BP6" t="s">
        <v>58</v>
      </c>
      <c r="BQ6">
        <v>1</v>
      </c>
      <c r="BR6" t="s">
        <v>59</v>
      </c>
      <c r="BS6" t="s">
        <v>49</v>
      </c>
      <c r="BT6" s="1">
        <f>0.693/BT7</f>
        <v>65.999999999999986</v>
      </c>
      <c r="BV6" t="s">
        <v>437</v>
      </c>
      <c r="BW6" s="1">
        <f>H6</f>
        <v>0</v>
      </c>
      <c r="BX6" t="s">
        <v>61</v>
      </c>
      <c r="BY6" t="s">
        <v>438</v>
      </c>
      <c r="BZ6" s="1">
        <f>K6</f>
        <v>0</v>
      </c>
      <c r="CA6" t="s">
        <v>61</v>
      </c>
      <c r="CB6" t="s">
        <v>58</v>
      </c>
      <c r="CC6">
        <v>26</v>
      </c>
      <c r="CD6" t="s">
        <v>59</v>
      </c>
      <c r="CE6" t="s">
        <v>58</v>
      </c>
      <c r="CF6">
        <v>26</v>
      </c>
      <c r="CG6" t="s">
        <v>59</v>
      </c>
      <c r="CH6" t="s">
        <v>58</v>
      </c>
      <c r="CI6">
        <v>26</v>
      </c>
      <c r="CJ6" t="s">
        <v>59</v>
      </c>
      <c r="CK6" t="s">
        <v>447</v>
      </c>
      <c r="CL6" s="1">
        <f>E35</f>
        <v>0</v>
      </c>
      <c r="CM6" t="s">
        <v>22</v>
      </c>
      <c r="CN6" t="s">
        <v>47</v>
      </c>
      <c r="CO6">
        <f>CO8</f>
        <v>5.0000000000000001E-3</v>
      </c>
      <c r="CQ6" t="s">
        <v>315</v>
      </c>
      <c r="CR6" s="17">
        <v>1</v>
      </c>
      <c r="CS6" t="s">
        <v>56</v>
      </c>
      <c r="CT6" t="s">
        <v>438</v>
      </c>
      <c r="CU6" s="1">
        <f>B19</f>
        <v>0</v>
      </c>
      <c r="CV6" t="s">
        <v>61</v>
      </c>
      <c r="CW6" t="s">
        <v>49</v>
      </c>
      <c r="CX6" s="1">
        <f>0.693/CX7</f>
        <v>65.999999999999986</v>
      </c>
      <c r="CZ6" t="s">
        <v>437</v>
      </c>
      <c r="DA6" s="1">
        <f>B18</f>
        <v>0</v>
      </c>
      <c r="DB6" t="s">
        <v>61</v>
      </c>
      <c r="DC6" t="s">
        <v>447</v>
      </c>
      <c r="DD6" s="1">
        <f>B28</f>
        <v>0</v>
      </c>
      <c r="DE6" t="s">
        <v>61</v>
      </c>
      <c r="DF6" t="s">
        <v>53</v>
      </c>
      <c r="DG6">
        <f>(DG8*DG9*DG14*((1-EXP(-DG11*DG12))))/(DG13*DG11)</f>
        <v>5.4035127681958941E-3</v>
      </c>
      <c r="DH6" t="s">
        <v>45</v>
      </c>
      <c r="DI6" t="s">
        <v>54</v>
      </c>
      <c r="DJ6">
        <f>DJ8</f>
        <v>0.26</v>
      </c>
      <c r="DL6" t="s">
        <v>54</v>
      </c>
      <c r="DM6">
        <f>DM8</f>
        <v>0.26</v>
      </c>
      <c r="DO6" t="s">
        <v>53</v>
      </c>
      <c r="DP6">
        <f>(DP8*DP9*DP14*((1-EXP(-DP11*DP12))))/(DP13*DP11)</f>
        <v>9.2940667982112686</v>
      </c>
      <c r="DQ6" t="s">
        <v>45</v>
      </c>
      <c r="DR6" t="s">
        <v>447</v>
      </c>
      <c r="DS6" s="1">
        <f>B28</f>
        <v>0</v>
      </c>
      <c r="DT6" t="s">
        <v>61</v>
      </c>
      <c r="DU6" t="s">
        <v>55</v>
      </c>
      <c r="DV6">
        <v>92</v>
      </c>
      <c r="DW6" t="s">
        <v>56</v>
      </c>
      <c r="DX6" t="s">
        <v>54</v>
      </c>
      <c r="DY6">
        <f>DY8</f>
        <v>0.25</v>
      </c>
      <c r="EA6" t="s">
        <v>54</v>
      </c>
      <c r="EB6">
        <f>EB8</f>
        <v>0.25</v>
      </c>
      <c r="ED6" t="s">
        <v>54</v>
      </c>
      <c r="EE6">
        <f>EE8</f>
        <v>0.25</v>
      </c>
      <c r="EG6" t="s">
        <v>447</v>
      </c>
      <c r="EH6" s="1">
        <f>B28</f>
        <v>0</v>
      </c>
      <c r="EI6" t="s">
        <v>61</v>
      </c>
      <c r="EJ6" t="s">
        <v>57</v>
      </c>
      <c r="EK6">
        <v>53</v>
      </c>
      <c r="EL6" t="s">
        <v>56</v>
      </c>
      <c r="EM6" t="s">
        <v>54</v>
      </c>
      <c r="EN6">
        <f>EN8</f>
        <v>0.25</v>
      </c>
      <c r="EP6" t="s">
        <v>54</v>
      </c>
      <c r="EQ6">
        <f>EQ8</f>
        <v>0.25</v>
      </c>
      <c r="ES6" t="s">
        <v>54</v>
      </c>
      <c r="ET6">
        <f>ET8</f>
        <v>0.25</v>
      </c>
      <c r="EV6" t="s">
        <v>447</v>
      </c>
      <c r="EW6" s="1">
        <f>B28</f>
        <v>0</v>
      </c>
      <c r="EX6" t="s">
        <v>61</v>
      </c>
      <c r="EY6" t="s">
        <v>271</v>
      </c>
      <c r="EZ6">
        <v>0.4</v>
      </c>
      <c r="FA6" t="s">
        <v>56</v>
      </c>
      <c r="FB6" t="s">
        <v>54</v>
      </c>
      <c r="FC6">
        <f>FC8</f>
        <v>0.25</v>
      </c>
      <c r="FE6" t="s">
        <v>54</v>
      </c>
      <c r="FF6">
        <f>FF8</f>
        <v>0.25</v>
      </c>
      <c r="FH6" t="s">
        <v>54</v>
      </c>
      <c r="FI6">
        <f>FI8</f>
        <v>0.25</v>
      </c>
      <c r="FK6" t="s">
        <v>447</v>
      </c>
      <c r="FL6" s="1">
        <f>B28</f>
        <v>0</v>
      </c>
      <c r="FM6" t="s">
        <v>61</v>
      </c>
      <c r="FN6" t="s">
        <v>274</v>
      </c>
      <c r="FO6" s="17">
        <v>1</v>
      </c>
      <c r="FP6" t="s">
        <v>56</v>
      </c>
      <c r="FQ6" t="s">
        <v>296</v>
      </c>
      <c r="FR6" s="1">
        <v>8.1999999999999993</v>
      </c>
      <c r="FT6" t="s">
        <v>54</v>
      </c>
      <c r="FU6">
        <f>FU8</f>
        <v>0.25</v>
      </c>
      <c r="FW6" t="s">
        <v>54</v>
      </c>
      <c r="FX6">
        <f>FX8</f>
        <v>0.25</v>
      </c>
      <c r="FZ6" t="s">
        <v>447</v>
      </c>
      <c r="GA6" s="1">
        <f>B28</f>
        <v>0</v>
      </c>
      <c r="GB6" t="s">
        <v>61</v>
      </c>
      <c r="GC6" t="s">
        <v>272</v>
      </c>
      <c r="GD6">
        <v>0.4</v>
      </c>
      <c r="GE6" t="s">
        <v>56</v>
      </c>
      <c r="GF6" t="s">
        <v>54</v>
      </c>
      <c r="GG6">
        <f>GG8</f>
        <v>0.25</v>
      </c>
      <c r="GI6" t="s">
        <v>54</v>
      </c>
      <c r="GJ6">
        <f>GJ8</f>
        <v>0.25</v>
      </c>
      <c r="GL6" t="s">
        <v>54</v>
      </c>
      <c r="GM6">
        <f>GM8</f>
        <v>0.25</v>
      </c>
      <c r="GO6" t="s">
        <v>447</v>
      </c>
      <c r="GP6" s="1">
        <f>B28</f>
        <v>0</v>
      </c>
      <c r="GQ6" t="s">
        <v>61</v>
      </c>
      <c r="GR6" t="s">
        <v>273</v>
      </c>
      <c r="GS6">
        <v>11.4</v>
      </c>
      <c r="GT6" t="s">
        <v>56</v>
      </c>
      <c r="GU6" t="s">
        <v>54</v>
      </c>
      <c r="GV6">
        <f>GV8</f>
        <v>0.25</v>
      </c>
      <c r="GX6" t="s">
        <v>54</v>
      </c>
      <c r="GY6">
        <f>GY8</f>
        <v>0.25</v>
      </c>
      <c r="HA6" t="s">
        <v>54</v>
      </c>
      <c r="HB6">
        <f>HB8</f>
        <v>0.25</v>
      </c>
      <c r="HD6" t="s">
        <v>456</v>
      </c>
      <c r="HE6" s="1" t="e">
        <f>H3</f>
        <v>#DIV/0!</v>
      </c>
      <c r="HF6" t="s">
        <v>24</v>
      </c>
    </row>
    <row r="7" spans="1:214" x14ac:dyDescent="0.2">
      <c r="A7" s="424" t="s">
        <v>487</v>
      </c>
      <c r="B7" s="417">
        <v>4.2700000000000002E-2</v>
      </c>
      <c r="C7" s="418"/>
      <c r="D7" t="s">
        <v>411</v>
      </c>
      <c r="E7" s="1">
        <v>11000</v>
      </c>
      <c r="F7" t="s">
        <v>119</v>
      </c>
      <c r="G7" t="s">
        <v>436</v>
      </c>
      <c r="H7" s="1">
        <f>B17</f>
        <v>0</v>
      </c>
      <c r="I7" t="s">
        <v>61</v>
      </c>
      <c r="J7" t="s">
        <v>436</v>
      </c>
      <c r="K7" s="1">
        <f>B17</f>
        <v>0</v>
      </c>
      <c r="L7" t="s">
        <v>61</v>
      </c>
      <c r="M7" t="s">
        <v>49</v>
      </c>
      <c r="N7" s="1">
        <f>0.693/N8</f>
        <v>65.999999999999986</v>
      </c>
      <c r="P7" t="s">
        <v>49</v>
      </c>
      <c r="Q7" s="1">
        <f>0.693/Q8</f>
        <v>65.999999999999986</v>
      </c>
      <c r="S7" t="s">
        <v>49</v>
      </c>
      <c r="T7" s="1">
        <f>0.693/T8</f>
        <v>65.999999999999986</v>
      </c>
      <c r="V7" t="s">
        <v>411</v>
      </c>
      <c r="W7" s="1">
        <f>B29</f>
        <v>1.0500000000000001E-2</v>
      </c>
      <c r="X7" t="s">
        <v>119</v>
      </c>
      <c r="Y7" t="s">
        <v>411</v>
      </c>
      <c r="Z7" s="1">
        <f>B29</f>
        <v>1.0500000000000001E-2</v>
      </c>
      <c r="AA7" t="s">
        <v>119</v>
      </c>
      <c r="AI7" t="s">
        <v>49</v>
      </c>
      <c r="AJ7" s="1">
        <f>0.693/AJ8</f>
        <v>65.999999999999986</v>
      </c>
      <c r="AL7" t="s">
        <v>49</v>
      </c>
      <c r="AM7" s="1">
        <f>0.693/AM8</f>
        <v>65.999999999999986</v>
      </c>
      <c r="AO7" t="s">
        <v>49</v>
      </c>
      <c r="AP7" s="1">
        <f>0.693/AP8</f>
        <v>65.999999999999986</v>
      </c>
      <c r="AR7" t="s">
        <v>49</v>
      </c>
      <c r="AS7" s="1">
        <f>0.693/AS8</f>
        <v>65.999999999999986</v>
      </c>
      <c r="AU7" t="s">
        <v>49</v>
      </c>
      <c r="AV7" s="1">
        <f>0.693/AV8</f>
        <v>65.999999999999986</v>
      </c>
      <c r="AX7" t="s">
        <v>49</v>
      </c>
      <c r="AY7" s="1">
        <f>0.693/AY8</f>
        <v>65.999999999999986</v>
      </c>
      <c r="BA7" t="s">
        <v>49</v>
      </c>
      <c r="BB7" s="1">
        <f>0.693/BB8</f>
        <v>65.999999999999986</v>
      </c>
      <c r="BD7" t="s">
        <v>49</v>
      </c>
      <c r="BE7" s="1">
        <f>0.693/BE8</f>
        <v>65.999999999999986</v>
      </c>
      <c r="BG7" t="s">
        <v>49</v>
      </c>
      <c r="BH7" s="1">
        <f>0.693/BH8</f>
        <v>65.999999999999986</v>
      </c>
      <c r="BJ7" t="s">
        <v>49</v>
      </c>
      <c r="BK7" s="1">
        <f>0.693/BK8</f>
        <v>65.999999999999986</v>
      </c>
      <c r="BM7" t="s">
        <v>49</v>
      </c>
      <c r="BN7" s="1">
        <f>0.693/BN8</f>
        <v>65.999999999999986</v>
      </c>
      <c r="BP7" t="s">
        <v>49</v>
      </c>
      <c r="BQ7" s="1">
        <f>0.693/BQ8</f>
        <v>65.999999999999986</v>
      </c>
      <c r="BS7" t="s">
        <v>411</v>
      </c>
      <c r="BT7" s="1">
        <f>B29</f>
        <v>1.0500000000000001E-2</v>
      </c>
      <c r="BU7" t="s">
        <v>119</v>
      </c>
      <c r="BV7" t="s">
        <v>436</v>
      </c>
      <c r="BW7" s="1">
        <f>E10</f>
        <v>0</v>
      </c>
      <c r="BX7" t="s">
        <v>61</v>
      </c>
      <c r="BY7" t="s">
        <v>436</v>
      </c>
      <c r="BZ7" s="1">
        <f>E10</f>
        <v>0</v>
      </c>
      <c r="CA7" t="s">
        <v>61</v>
      </c>
      <c r="CB7" t="s">
        <v>49</v>
      </c>
      <c r="CC7" s="1">
        <f>0.693/CC8</f>
        <v>65.999999999999986</v>
      </c>
      <c r="CE7" t="s">
        <v>49</v>
      </c>
      <c r="CF7" s="1">
        <f>0.693/CF8</f>
        <v>65.999999999999986</v>
      </c>
      <c r="CH7" t="s">
        <v>49</v>
      </c>
      <c r="CI7" s="1">
        <f>0.693/CI8</f>
        <v>65.999999999999986</v>
      </c>
      <c r="CK7" t="s">
        <v>221</v>
      </c>
      <c r="CL7">
        <v>75</v>
      </c>
      <c r="CM7" t="s">
        <v>245</v>
      </c>
      <c r="CN7" t="s">
        <v>54</v>
      </c>
      <c r="CO7">
        <f>CO9</f>
        <v>0.25</v>
      </c>
      <c r="CR7">
        <v>1000</v>
      </c>
      <c r="CS7" t="s">
        <v>213</v>
      </c>
      <c r="CT7" t="s">
        <v>436</v>
      </c>
      <c r="CU7" s="1">
        <f>B17</f>
        <v>0</v>
      </c>
      <c r="CV7" t="s">
        <v>61</v>
      </c>
      <c r="CW7" t="s">
        <v>411</v>
      </c>
      <c r="CX7" s="1">
        <f>B29</f>
        <v>1.0500000000000001E-2</v>
      </c>
      <c r="CY7" t="s">
        <v>119</v>
      </c>
      <c r="CZ7" t="s">
        <v>436</v>
      </c>
      <c r="DA7" s="1">
        <f>B17</f>
        <v>0</v>
      </c>
      <c r="DB7" t="s">
        <v>61</v>
      </c>
      <c r="DC7" t="s">
        <v>451</v>
      </c>
      <c r="DD7" s="16" t="e">
        <f>(DD5)/(DD6*(DD8+DD11)*DD21)</f>
        <v>#DIV/0!</v>
      </c>
      <c r="DE7" t="s">
        <v>22</v>
      </c>
      <c r="DF7" t="s">
        <v>62</v>
      </c>
      <c r="DG7">
        <f>(DG8*DG9*DG15*DG21*((1-EXP(-DG16*DG17))))/(DG18*DG16)</f>
        <v>0.82303427313698274</v>
      </c>
      <c r="DH7" t="s">
        <v>45</v>
      </c>
      <c r="DI7" t="s">
        <v>63</v>
      </c>
      <c r="DJ7">
        <f>B40</f>
        <v>0</v>
      </c>
      <c r="DL7" t="s">
        <v>63</v>
      </c>
      <c r="DM7">
        <f>B40</f>
        <v>0</v>
      </c>
      <c r="DO7" t="s">
        <v>62</v>
      </c>
      <c r="DP7">
        <f>(DP8*DP9*DP15*DP21*((1-EXP(-DP16*DP17))))/(DP18*DP16)</f>
        <v>3.6424203206347228</v>
      </c>
      <c r="DQ7" t="s">
        <v>45</v>
      </c>
      <c r="DR7" t="s">
        <v>451</v>
      </c>
      <c r="DS7" s="16" t="e">
        <f>DS5/(DS6*DS8*DS17)</f>
        <v>#DIV/0!</v>
      </c>
      <c r="DT7" t="s">
        <v>22</v>
      </c>
      <c r="DX7" t="s">
        <v>64</v>
      </c>
      <c r="DY7">
        <f>B41</f>
        <v>0</v>
      </c>
      <c r="EA7" t="s">
        <v>64</v>
      </c>
      <c r="EB7">
        <f>B41</f>
        <v>0</v>
      </c>
      <c r="ED7" t="s">
        <v>64</v>
      </c>
      <c r="EE7">
        <f>B41</f>
        <v>0</v>
      </c>
      <c r="EG7" t="s">
        <v>451</v>
      </c>
      <c r="EH7" s="16" t="e">
        <f>EH5/(EH6*EH8*EH17)</f>
        <v>#DIV/0!</v>
      </c>
      <c r="EI7" t="s">
        <v>22</v>
      </c>
      <c r="EM7" t="s">
        <v>64</v>
      </c>
      <c r="EN7">
        <f>B41</f>
        <v>0</v>
      </c>
      <c r="EP7" t="s">
        <v>64</v>
      </c>
      <c r="EQ7">
        <f>B41</f>
        <v>0</v>
      </c>
      <c r="ES7" t="s">
        <v>64</v>
      </c>
      <c r="ET7">
        <f>B41</f>
        <v>0</v>
      </c>
      <c r="EV7" t="s">
        <v>451</v>
      </c>
      <c r="EW7" s="16" t="e">
        <f>EW5/(EW6*EW8*EW17)</f>
        <v>#DIV/0!</v>
      </c>
      <c r="EX7" t="s">
        <v>22</v>
      </c>
      <c r="EZ7">
        <v>1000</v>
      </c>
      <c r="FA7" t="s">
        <v>213</v>
      </c>
      <c r="FB7" t="s">
        <v>64</v>
      </c>
      <c r="FC7">
        <v>5.0000000000000001E-3</v>
      </c>
      <c r="FE7" t="s">
        <v>64</v>
      </c>
      <c r="FF7">
        <v>5.0000000000000001E-3</v>
      </c>
      <c r="FH7" t="s">
        <v>64</v>
      </c>
      <c r="FI7">
        <v>5.0000000000000001E-3</v>
      </c>
      <c r="FK7" t="s">
        <v>451</v>
      </c>
      <c r="FL7" s="16" t="e">
        <f>FL5/(FL6*FL8*FL17)</f>
        <v>#DIV/0!</v>
      </c>
      <c r="FM7" t="s">
        <v>22</v>
      </c>
      <c r="FO7">
        <v>1000</v>
      </c>
      <c r="FP7" t="s">
        <v>213</v>
      </c>
      <c r="FT7" t="s">
        <v>64</v>
      </c>
      <c r="FU7">
        <v>0.2</v>
      </c>
      <c r="FW7" t="s">
        <v>64</v>
      </c>
      <c r="FX7">
        <v>0.2</v>
      </c>
      <c r="FZ7" t="s">
        <v>451</v>
      </c>
      <c r="GA7" s="16" t="e">
        <f>GA5/(GA6*GA8*GA17)</f>
        <v>#DIV/0!</v>
      </c>
      <c r="GB7" t="s">
        <v>22</v>
      </c>
      <c r="GD7">
        <v>1000</v>
      </c>
      <c r="GE7" t="s">
        <v>213</v>
      </c>
      <c r="GF7" t="s">
        <v>64</v>
      </c>
      <c r="GG7">
        <v>5.0000000000000001E-3</v>
      </c>
      <c r="GI7" t="s">
        <v>64</v>
      </c>
      <c r="GJ7">
        <v>5.0000000000000001E-3</v>
      </c>
      <c r="GL7" t="s">
        <v>64</v>
      </c>
      <c r="GM7">
        <v>5.0000000000000001E-3</v>
      </c>
      <c r="GO7" t="s">
        <v>451</v>
      </c>
      <c r="GP7" s="16" t="e">
        <f>GP5/(GP6*GP8*GP16)</f>
        <v>#DIV/0!</v>
      </c>
      <c r="GQ7" t="s">
        <v>22</v>
      </c>
      <c r="GS7">
        <v>1000</v>
      </c>
      <c r="GT7" t="s">
        <v>213</v>
      </c>
      <c r="GU7" t="s">
        <v>64</v>
      </c>
      <c r="GV7">
        <v>5.0000000000000001E-3</v>
      </c>
      <c r="GX7" t="s">
        <v>64</v>
      </c>
      <c r="GY7">
        <v>5.0000000000000001E-3</v>
      </c>
      <c r="HA7" t="s">
        <v>64</v>
      </c>
      <c r="HB7">
        <v>5.0000000000000001E-3</v>
      </c>
      <c r="HD7" t="s">
        <v>49</v>
      </c>
      <c r="HE7" s="1">
        <f>0.693/HE8</f>
        <v>65.999999999999986</v>
      </c>
    </row>
    <row r="8" spans="1:214" x14ac:dyDescent="0.2">
      <c r="A8" s="424" t="s">
        <v>427</v>
      </c>
      <c r="B8" s="417">
        <v>0.72299999999999998</v>
      </c>
      <c r="C8" s="418"/>
      <c r="D8" t="s">
        <v>51</v>
      </c>
      <c r="E8">
        <v>350</v>
      </c>
      <c r="F8" t="s">
        <v>60</v>
      </c>
      <c r="G8" t="s">
        <v>446</v>
      </c>
      <c r="H8" s="1">
        <f>B27</f>
        <v>2.1100000000000001E-5</v>
      </c>
      <c r="I8" t="s">
        <v>61</v>
      </c>
      <c r="J8" t="s">
        <v>460</v>
      </c>
      <c r="K8" s="1">
        <f>B21</f>
        <v>10.6</v>
      </c>
      <c r="L8" t="s">
        <v>147</v>
      </c>
      <c r="M8" t="s">
        <v>411</v>
      </c>
      <c r="N8" s="1">
        <f>B29</f>
        <v>1.0500000000000001E-2</v>
      </c>
      <c r="O8" t="s">
        <v>119</v>
      </c>
      <c r="P8" t="s">
        <v>411</v>
      </c>
      <c r="Q8" s="1">
        <f>B29</f>
        <v>1.0500000000000001E-2</v>
      </c>
      <c r="R8" t="s">
        <v>119</v>
      </c>
      <c r="S8" t="s">
        <v>411</v>
      </c>
      <c r="T8" s="1">
        <f>B29</f>
        <v>1.0500000000000001E-2</v>
      </c>
      <c r="U8" t="s">
        <v>119</v>
      </c>
      <c r="V8" t="s">
        <v>51</v>
      </c>
      <c r="W8">
        <v>225</v>
      </c>
      <c r="X8" t="s">
        <v>60</v>
      </c>
      <c r="Y8" t="s">
        <v>51</v>
      </c>
      <c r="Z8">
        <v>250</v>
      </c>
      <c r="AA8" t="s">
        <v>60</v>
      </c>
      <c r="AB8" t="s">
        <v>66</v>
      </c>
      <c r="AC8">
        <v>250</v>
      </c>
      <c r="AD8">
        <v>250</v>
      </c>
      <c r="AE8">
        <v>225</v>
      </c>
      <c r="AF8">
        <f>AF12*AF13</f>
        <v>250</v>
      </c>
      <c r="AG8">
        <f>AG12*AG13</f>
        <v>250</v>
      </c>
      <c r="AH8" t="s">
        <v>52</v>
      </c>
      <c r="AI8" t="s">
        <v>411</v>
      </c>
      <c r="AJ8" s="1">
        <f>B29</f>
        <v>1.0500000000000001E-2</v>
      </c>
      <c r="AK8" t="s">
        <v>119</v>
      </c>
      <c r="AL8" t="s">
        <v>411</v>
      </c>
      <c r="AM8" s="1">
        <f>B29</f>
        <v>1.0500000000000001E-2</v>
      </c>
      <c r="AN8" t="s">
        <v>119</v>
      </c>
      <c r="AO8" t="s">
        <v>411</v>
      </c>
      <c r="AP8" s="1">
        <f>B29</f>
        <v>1.0500000000000001E-2</v>
      </c>
      <c r="AQ8" t="s">
        <v>119</v>
      </c>
      <c r="AR8" t="s">
        <v>411</v>
      </c>
      <c r="AS8" s="1">
        <f>B29</f>
        <v>1.0500000000000001E-2</v>
      </c>
      <c r="AT8" t="s">
        <v>119</v>
      </c>
      <c r="AU8" t="s">
        <v>411</v>
      </c>
      <c r="AV8" s="1">
        <f>B29</f>
        <v>1.0500000000000001E-2</v>
      </c>
      <c r="AW8" t="s">
        <v>119</v>
      </c>
      <c r="AX8" t="s">
        <v>411</v>
      </c>
      <c r="AY8" s="1">
        <f>B29</f>
        <v>1.0500000000000001E-2</v>
      </c>
      <c r="AZ8" t="s">
        <v>119</v>
      </c>
      <c r="BA8" t="s">
        <v>411</v>
      </c>
      <c r="BB8" s="1">
        <f>B29</f>
        <v>1.0500000000000001E-2</v>
      </c>
      <c r="BC8" t="s">
        <v>119</v>
      </c>
      <c r="BD8" t="s">
        <v>411</v>
      </c>
      <c r="BE8" s="1">
        <f>B29</f>
        <v>1.0500000000000001E-2</v>
      </c>
      <c r="BF8" t="s">
        <v>119</v>
      </c>
      <c r="BG8" t="s">
        <v>411</v>
      </c>
      <c r="BH8" s="1">
        <f>B29</f>
        <v>1.0500000000000001E-2</v>
      </c>
      <c r="BI8" t="s">
        <v>119</v>
      </c>
      <c r="BJ8" t="s">
        <v>411</v>
      </c>
      <c r="BK8" s="1">
        <f>B29</f>
        <v>1.0500000000000001E-2</v>
      </c>
      <c r="BL8" t="s">
        <v>119</v>
      </c>
      <c r="BM8" t="s">
        <v>411</v>
      </c>
      <c r="BN8" s="1">
        <f>B29</f>
        <v>1.0500000000000001E-2</v>
      </c>
      <c r="BO8" t="s">
        <v>119</v>
      </c>
      <c r="BP8" t="s">
        <v>411</v>
      </c>
      <c r="BQ8" s="1">
        <f>B29</f>
        <v>1.0500000000000001E-2</v>
      </c>
      <c r="BR8" t="s">
        <v>119</v>
      </c>
      <c r="BS8" t="s">
        <v>51</v>
      </c>
      <c r="BT8">
        <v>75</v>
      </c>
      <c r="BU8" t="s">
        <v>60</v>
      </c>
      <c r="BV8" t="s">
        <v>446</v>
      </c>
      <c r="BW8" s="1">
        <f>H8</f>
        <v>2.1100000000000001E-5</v>
      </c>
      <c r="BX8" t="s">
        <v>61</v>
      </c>
      <c r="BY8" t="s">
        <v>460</v>
      </c>
      <c r="BZ8" s="1">
        <f>K8</f>
        <v>10.6</v>
      </c>
      <c r="CA8" t="s">
        <v>147</v>
      </c>
      <c r="CB8" t="s">
        <v>411</v>
      </c>
      <c r="CC8" s="1">
        <f>B29</f>
        <v>1.0500000000000001E-2</v>
      </c>
      <c r="CD8" t="s">
        <v>119</v>
      </c>
      <c r="CE8" t="s">
        <v>411</v>
      </c>
      <c r="CF8" s="1">
        <f>B29</f>
        <v>1.0500000000000001E-2</v>
      </c>
      <c r="CG8" t="s">
        <v>119</v>
      </c>
      <c r="CH8" t="s">
        <v>411</v>
      </c>
      <c r="CI8" s="1">
        <f>B29</f>
        <v>1.0500000000000001E-2</v>
      </c>
      <c r="CJ8" t="s">
        <v>119</v>
      </c>
      <c r="CK8" t="s">
        <v>99</v>
      </c>
      <c r="CL8">
        <v>1</v>
      </c>
      <c r="CM8" t="s">
        <v>253</v>
      </c>
      <c r="CN8" t="s">
        <v>64</v>
      </c>
      <c r="CO8">
        <v>5.0000000000000001E-3</v>
      </c>
      <c r="CT8" t="s">
        <v>460</v>
      </c>
      <c r="CU8" s="1">
        <f>B21</f>
        <v>10.6</v>
      </c>
      <c r="CV8" t="s">
        <v>147</v>
      </c>
      <c r="CW8" t="s">
        <v>51</v>
      </c>
      <c r="CX8">
        <v>350</v>
      </c>
      <c r="CY8" t="s">
        <v>60</v>
      </c>
      <c r="CZ8" t="s">
        <v>461</v>
      </c>
      <c r="DA8" s="14">
        <f>B27</f>
        <v>2.1100000000000001E-5</v>
      </c>
      <c r="DB8" t="s">
        <v>61</v>
      </c>
      <c r="DC8" t="s">
        <v>469</v>
      </c>
      <c r="DD8" s="427">
        <f>(DD9*DD15*DD16*DD22)+(DD10*DD14*DD17*DD23)</f>
        <v>9024.75</v>
      </c>
      <c r="DE8" t="s">
        <v>213</v>
      </c>
      <c r="DF8" t="s">
        <v>68</v>
      </c>
      <c r="DG8">
        <v>3.62</v>
      </c>
      <c r="DH8" t="s">
        <v>69</v>
      </c>
      <c r="DI8" t="s">
        <v>70</v>
      </c>
      <c r="DJ8">
        <v>0.26</v>
      </c>
      <c r="DL8" t="s">
        <v>70</v>
      </c>
      <c r="DM8">
        <v>0.26</v>
      </c>
      <c r="DO8" t="s">
        <v>68</v>
      </c>
      <c r="DP8">
        <v>3.62</v>
      </c>
      <c r="DQ8" t="s">
        <v>69</v>
      </c>
      <c r="DR8" t="s">
        <v>257</v>
      </c>
      <c r="DS8" s="402">
        <f>(DS11*DS13*DS9*DS19)+(DS12*DS14*DS10*DS20)</f>
        <v>196402.5</v>
      </c>
      <c r="DT8" t="s">
        <v>213</v>
      </c>
      <c r="DX8" t="s">
        <v>70</v>
      </c>
      <c r="DY8">
        <v>0.25</v>
      </c>
      <c r="EA8" t="s">
        <v>70</v>
      </c>
      <c r="EB8">
        <v>0.25</v>
      </c>
      <c r="ED8" t="s">
        <v>70</v>
      </c>
      <c r="EE8">
        <v>0.25</v>
      </c>
      <c r="EG8" t="s">
        <v>258</v>
      </c>
      <c r="EH8" s="427">
        <f>(EH13*EH11*EH9*EH19)+(EH14*EH12*EH10*EH20)</f>
        <v>41592.465753424665</v>
      </c>
      <c r="EI8" t="s">
        <v>213</v>
      </c>
      <c r="EM8" t="s">
        <v>70</v>
      </c>
      <c r="EN8">
        <v>0.25</v>
      </c>
      <c r="EP8" t="s">
        <v>70</v>
      </c>
      <c r="EQ8">
        <v>0.25</v>
      </c>
      <c r="ES8" t="s">
        <v>70</v>
      </c>
      <c r="ET8">
        <v>0.25</v>
      </c>
      <c r="EV8" t="s">
        <v>260</v>
      </c>
      <c r="EW8" s="427">
        <f>(EW11*EW13*EW9*EW19)+(EW12*EW14*EW10*EW20)</f>
        <v>12475.342465753425</v>
      </c>
      <c r="EX8" t="s">
        <v>213</v>
      </c>
      <c r="FB8" t="s">
        <v>290</v>
      </c>
      <c r="FC8">
        <v>0.25</v>
      </c>
      <c r="FE8" t="s">
        <v>290</v>
      </c>
      <c r="FF8">
        <v>0.25</v>
      </c>
      <c r="FH8" t="s">
        <v>290</v>
      </c>
      <c r="FI8">
        <v>0.25</v>
      </c>
      <c r="FK8" t="s">
        <v>263</v>
      </c>
      <c r="FL8" s="427">
        <f>(FL13*FL9*FL11*FL19)+(FL14*FL10*FL12*FL20)</f>
        <v>38250.684931506847</v>
      </c>
      <c r="FM8" t="s">
        <v>213</v>
      </c>
      <c r="FT8" t="s">
        <v>285</v>
      </c>
      <c r="FU8">
        <v>0.25</v>
      </c>
      <c r="FW8" t="s">
        <v>285</v>
      </c>
      <c r="FX8">
        <v>0.25</v>
      </c>
      <c r="FZ8" t="s">
        <v>266</v>
      </c>
      <c r="GA8" s="427">
        <f>(GA11*GA9*GA13*GA19)+(GA14*GA10*GA12*GA20)</f>
        <v>29898.630136986299</v>
      </c>
      <c r="GB8" t="s">
        <v>213</v>
      </c>
      <c r="GF8" t="s">
        <v>279</v>
      </c>
      <c r="GG8">
        <v>0.25</v>
      </c>
      <c r="GI8" t="s">
        <v>279</v>
      </c>
      <c r="GJ8">
        <v>0.25</v>
      </c>
      <c r="GL8" t="s">
        <v>279</v>
      </c>
      <c r="GM8">
        <v>0.25</v>
      </c>
      <c r="GO8" t="s">
        <v>267</v>
      </c>
      <c r="GP8" s="427">
        <f>(GP13*GP9*GP11*GP18)+(GP14*GP10*GP12*GP19)</f>
        <v>23224.657534246577</v>
      </c>
      <c r="GQ8" t="s">
        <v>213</v>
      </c>
      <c r="GU8" t="s">
        <v>284</v>
      </c>
      <c r="GV8">
        <v>0.25</v>
      </c>
      <c r="GX8" t="s">
        <v>284</v>
      </c>
      <c r="GY8">
        <v>0.25</v>
      </c>
      <c r="HA8" t="s">
        <v>284</v>
      </c>
      <c r="HB8">
        <v>0.25</v>
      </c>
      <c r="HD8" t="s">
        <v>411</v>
      </c>
      <c r="HE8" s="1">
        <f>B29</f>
        <v>1.0500000000000001E-2</v>
      </c>
      <c r="HF8" t="s">
        <v>119</v>
      </c>
    </row>
    <row r="9" spans="1:214" x14ac:dyDescent="0.2">
      <c r="A9" s="424" t="s">
        <v>488</v>
      </c>
      <c r="B9" s="417">
        <v>5.8400000000000001E-2</v>
      </c>
      <c r="C9" s="418"/>
      <c r="D9" t="s">
        <v>65</v>
      </c>
      <c r="E9">
        <v>1</v>
      </c>
      <c r="F9" t="s">
        <v>59</v>
      </c>
      <c r="G9" t="s">
        <v>447</v>
      </c>
      <c r="H9" s="1">
        <f>B28</f>
        <v>0</v>
      </c>
      <c r="I9" t="s">
        <v>61</v>
      </c>
      <c r="J9" t="s">
        <v>447</v>
      </c>
      <c r="K9" s="1">
        <f>B28</f>
        <v>0</v>
      </c>
      <c r="L9" t="s">
        <v>61</v>
      </c>
      <c r="M9" t="s">
        <v>51</v>
      </c>
      <c r="N9">
        <v>350</v>
      </c>
      <c r="O9" t="s">
        <v>60</v>
      </c>
      <c r="P9" t="s">
        <v>51</v>
      </c>
      <c r="Q9">
        <v>350</v>
      </c>
      <c r="R9" t="s">
        <v>60</v>
      </c>
      <c r="S9" t="s">
        <v>51</v>
      </c>
      <c r="T9">
        <v>350</v>
      </c>
      <c r="U9" t="s">
        <v>60</v>
      </c>
      <c r="V9" t="s">
        <v>65</v>
      </c>
      <c r="W9">
        <v>1</v>
      </c>
      <c r="X9" t="s">
        <v>59</v>
      </c>
      <c r="Y9" t="s">
        <v>65</v>
      </c>
      <c r="Z9">
        <v>1</v>
      </c>
      <c r="AA9" t="s">
        <v>59</v>
      </c>
      <c r="AB9" t="s">
        <v>438</v>
      </c>
      <c r="AC9" s="1">
        <f>B19</f>
        <v>0</v>
      </c>
      <c r="AD9" s="1">
        <f>B19</f>
        <v>0</v>
      </c>
      <c r="AE9" s="1">
        <f>B19</f>
        <v>0</v>
      </c>
      <c r="AF9" s="1">
        <f>B19</f>
        <v>0</v>
      </c>
      <c r="AG9" s="1">
        <f>B19</f>
        <v>0</v>
      </c>
      <c r="AH9" t="s">
        <v>61</v>
      </c>
      <c r="AI9" t="s">
        <v>51</v>
      </c>
      <c r="AJ9">
        <v>250</v>
      </c>
      <c r="AK9" t="s">
        <v>60</v>
      </c>
      <c r="AL9" t="s">
        <v>51</v>
      </c>
      <c r="AM9">
        <v>250</v>
      </c>
      <c r="AN9" t="s">
        <v>60</v>
      </c>
      <c r="AO9" t="s">
        <v>51</v>
      </c>
      <c r="AP9">
        <v>250</v>
      </c>
      <c r="AQ9" t="s">
        <v>60</v>
      </c>
      <c r="AR9" t="s">
        <v>51</v>
      </c>
      <c r="AS9">
        <v>225</v>
      </c>
      <c r="AT9" t="s">
        <v>60</v>
      </c>
      <c r="AU9" t="s">
        <v>51</v>
      </c>
      <c r="AV9">
        <v>225</v>
      </c>
      <c r="AW9" t="s">
        <v>60</v>
      </c>
      <c r="AX9" t="s">
        <v>51</v>
      </c>
      <c r="AY9">
        <v>225</v>
      </c>
      <c r="AZ9" t="s">
        <v>60</v>
      </c>
      <c r="BA9" t="s">
        <v>51</v>
      </c>
      <c r="BB9">
        <v>250</v>
      </c>
      <c r="BC9" t="s">
        <v>60</v>
      </c>
      <c r="BD9" t="s">
        <v>51</v>
      </c>
      <c r="BE9">
        <v>250</v>
      </c>
      <c r="BF9" t="s">
        <v>60</v>
      </c>
      <c r="BG9" t="s">
        <v>51</v>
      </c>
      <c r="BH9">
        <v>250</v>
      </c>
      <c r="BI9" t="s">
        <v>60</v>
      </c>
      <c r="BJ9" t="s">
        <v>51</v>
      </c>
      <c r="BK9">
        <f>BK10*BK11</f>
        <v>250</v>
      </c>
      <c r="BL9" t="s">
        <v>60</v>
      </c>
      <c r="BM9" t="s">
        <v>51</v>
      </c>
      <c r="BN9">
        <f>BN10*BN11</f>
        <v>250</v>
      </c>
      <c r="BO9" t="s">
        <v>60</v>
      </c>
      <c r="BP9" t="s">
        <v>51</v>
      </c>
      <c r="BQ9">
        <f>BQ10*BQ11</f>
        <v>250</v>
      </c>
      <c r="BR9" t="s">
        <v>60</v>
      </c>
      <c r="BS9" t="s">
        <v>65</v>
      </c>
      <c r="BT9">
        <v>1</v>
      </c>
      <c r="BU9" t="s">
        <v>59</v>
      </c>
      <c r="BV9" t="s">
        <v>447</v>
      </c>
      <c r="BW9" s="1">
        <f>E35</f>
        <v>0</v>
      </c>
      <c r="BX9" t="s">
        <v>61</v>
      </c>
      <c r="BY9" t="s">
        <v>148</v>
      </c>
      <c r="BZ9" s="1">
        <f>B30</f>
        <v>1359344473.5814338</v>
      </c>
      <c r="CA9" t="s">
        <v>149</v>
      </c>
      <c r="CB9" t="s">
        <v>51</v>
      </c>
      <c r="CC9">
        <v>75</v>
      </c>
      <c r="CD9" t="s">
        <v>60</v>
      </c>
      <c r="CE9" t="s">
        <v>51</v>
      </c>
      <c r="CF9">
        <v>75</v>
      </c>
      <c r="CG9" t="s">
        <v>60</v>
      </c>
      <c r="CH9" t="s">
        <v>51</v>
      </c>
      <c r="CI9">
        <v>75</v>
      </c>
      <c r="CJ9" t="s">
        <v>60</v>
      </c>
      <c r="CK9" t="s">
        <v>300</v>
      </c>
      <c r="CL9" s="17">
        <v>1</v>
      </c>
      <c r="CM9" t="s">
        <v>380</v>
      </c>
      <c r="CN9" t="s">
        <v>310</v>
      </c>
      <c r="CO9" s="17">
        <v>0.25</v>
      </c>
      <c r="CT9" t="s">
        <v>447</v>
      </c>
      <c r="CU9" s="1">
        <f>B28</f>
        <v>0</v>
      </c>
      <c r="CV9" t="s">
        <v>61</v>
      </c>
      <c r="CW9" t="s">
        <v>65</v>
      </c>
      <c r="CX9">
        <v>1</v>
      </c>
      <c r="CY9" t="s">
        <v>59</v>
      </c>
      <c r="CZ9" t="s">
        <v>447</v>
      </c>
      <c r="DA9" s="1">
        <f>B28</f>
        <v>0</v>
      </c>
      <c r="DB9" t="s">
        <v>61</v>
      </c>
      <c r="DC9" t="s">
        <v>467</v>
      </c>
      <c r="DD9" s="1">
        <f>B54</f>
        <v>10.4</v>
      </c>
      <c r="DE9" t="s">
        <v>380</v>
      </c>
      <c r="DF9" t="s">
        <v>74</v>
      </c>
      <c r="DG9">
        <v>0.25</v>
      </c>
      <c r="DH9" t="s">
        <v>75</v>
      </c>
      <c r="DO9" t="s">
        <v>74</v>
      </c>
      <c r="DP9">
        <v>0.25</v>
      </c>
      <c r="DQ9" t="s">
        <v>75</v>
      </c>
      <c r="DR9" t="s">
        <v>254</v>
      </c>
      <c r="DS9">
        <f>B57</f>
        <v>256</v>
      </c>
      <c r="DT9" t="s">
        <v>380</v>
      </c>
      <c r="DX9" t="s">
        <v>317</v>
      </c>
      <c r="DY9" s="1">
        <f>B35</f>
        <v>0</v>
      </c>
      <c r="EA9" t="s">
        <v>317</v>
      </c>
      <c r="EB9" s="1">
        <f>B35</f>
        <v>0</v>
      </c>
      <c r="ED9" t="s">
        <v>317</v>
      </c>
      <c r="EE9" s="1">
        <f>B35</f>
        <v>0</v>
      </c>
      <c r="EG9" t="s">
        <v>91</v>
      </c>
      <c r="EH9">
        <f>4.7*1000/365</f>
        <v>12.876712328767123</v>
      </c>
      <c r="EI9" t="s">
        <v>380</v>
      </c>
      <c r="EM9" t="s">
        <v>318</v>
      </c>
      <c r="EN9" s="1">
        <f>B36</f>
        <v>0</v>
      </c>
      <c r="EP9" t="s">
        <v>318</v>
      </c>
      <c r="EQ9" s="1">
        <f>B36</f>
        <v>0</v>
      </c>
      <c r="ES9" t="s">
        <v>318</v>
      </c>
      <c r="ET9" s="1">
        <f>B36</f>
        <v>0</v>
      </c>
      <c r="EV9" t="s">
        <v>261</v>
      </c>
      <c r="EW9">
        <f>2.3*1000/365</f>
        <v>6.3013698630136989</v>
      </c>
      <c r="EX9" t="s">
        <v>380</v>
      </c>
      <c r="FB9" t="s">
        <v>319</v>
      </c>
      <c r="FC9" s="406">
        <f>B38</f>
        <v>0</v>
      </c>
      <c r="FE9" t="s">
        <v>319</v>
      </c>
      <c r="FF9" s="406">
        <f>B38</f>
        <v>0</v>
      </c>
      <c r="FH9" t="s">
        <v>319</v>
      </c>
      <c r="FI9" s="406">
        <f>B38</f>
        <v>0</v>
      </c>
      <c r="FK9" t="s">
        <v>235</v>
      </c>
      <c r="FL9">
        <f>6.4*1000/365</f>
        <v>17.534246575342465</v>
      </c>
      <c r="FM9" t="s">
        <v>380</v>
      </c>
      <c r="FT9" t="s">
        <v>320</v>
      </c>
      <c r="FU9" s="17">
        <v>1</v>
      </c>
      <c r="FW9" t="s">
        <v>320</v>
      </c>
      <c r="FX9" s="17">
        <v>1</v>
      </c>
      <c r="FZ9" t="s">
        <v>233</v>
      </c>
      <c r="GA9" s="15">
        <f>5*1000/365</f>
        <v>13.698630136986301</v>
      </c>
      <c r="GB9" t="s">
        <v>380</v>
      </c>
      <c r="GF9" t="s">
        <v>321</v>
      </c>
      <c r="GG9" s="406">
        <f>B37</f>
        <v>0</v>
      </c>
      <c r="GI9" t="s">
        <v>321</v>
      </c>
      <c r="GJ9" s="406">
        <f>B37</f>
        <v>0</v>
      </c>
      <c r="GL9" t="s">
        <v>321</v>
      </c>
      <c r="GM9" s="406">
        <f>B37</f>
        <v>0</v>
      </c>
      <c r="GO9" t="s">
        <v>269</v>
      </c>
      <c r="GP9">
        <f>4.5*1000/365</f>
        <v>12.328767123287671</v>
      </c>
      <c r="GQ9" t="s">
        <v>380</v>
      </c>
      <c r="GU9" t="s">
        <v>322</v>
      </c>
      <c r="GV9" s="406">
        <f>B39</f>
        <v>0</v>
      </c>
      <c r="GX9" t="s">
        <v>322</v>
      </c>
      <c r="GY9" s="406">
        <f>B39</f>
        <v>0</v>
      </c>
      <c r="HA9" t="s">
        <v>322</v>
      </c>
      <c r="HB9" s="406">
        <f>B39</f>
        <v>0</v>
      </c>
      <c r="HD9" t="s">
        <v>71</v>
      </c>
      <c r="HE9">
        <v>0.3</v>
      </c>
    </row>
    <row r="10" spans="1:214" x14ac:dyDescent="0.2">
      <c r="A10" s="424" t="s">
        <v>428</v>
      </c>
      <c r="B10" s="417">
        <v>0.70099999999999996</v>
      </c>
      <c r="C10" s="418"/>
      <c r="D10" t="s">
        <v>436</v>
      </c>
      <c r="E10" s="1">
        <f>B17</f>
        <v>0</v>
      </c>
      <c r="F10" t="s">
        <v>61</v>
      </c>
      <c r="G10" t="s">
        <v>451</v>
      </c>
      <c r="H10" s="1" t="e">
        <f>H5/(H6*H15)</f>
        <v>#DIV/0!</v>
      </c>
      <c r="I10" t="s">
        <v>21</v>
      </c>
      <c r="J10" t="s">
        <v>148</v>
      </c>
      <c r="K10" s="1">
        <f>B30</f>
        <v>1359344473.5814338</v>
      </c>
      <c r="L10" t="s">
        <v>149</v>
      </c>
      <c r="M10" t="s">
        <v>65</v>
      </c>
      <c r="N10">
        <v>1</v>
      </c>
      <c r="O10" t="s">
        <v>59</v>
      </c>
      <c r="P10" t="s">
        <v>65</v>
      </c>
      <c r="Q10">
        <v>1</v>
      </c>
      <c r="R10" t="s">
        <v>59</v>
      </c>
      <c r="S10" t="s">
        <v>65</v>
      </c>
      <c r="T10">
        <v>1</v>
      </c>
      <c r="U10" t="s">
        <v>59</v>
      </c>
      <c r="V10" t="s">
        <v>436</v>
      </c>
      <c r="W10" s="1">
        <f>B17</f>
        <v>0</v>
      </c>
      <c r="X10" t="s">
        <v>72</v>
      </c>
      <c r="Y10" t="s">
        <v>436</v>
      </c>
      <c r="Z10" s="1">
        <f>B17</f>
        <v>0</v>
      </c>
      <c r="AA10" t="s">
        <v>72</v>
      </c>
      <c r="AI10" t="s">
        <v>65</v>
      </c>
      <c r="AJ10">
        <v>1</v>
      </c>
      <c r="AK10" t="s">
        <v>59</v>
      </c>
      <c r="AL10" t="s">
        <v>65</v>
      </c>
      <c r="AM10">
        <v>1</v>
      </c>
      <c r="AN10" t="s">
        <v>59</v>
      </c>
      <c r="AO10" t="s">
        <v>65</v>
      </c>
      <c r="AP10">
        <v>1</v>
      </c>
      <c r="AQ10" t="s">
        <v>59</v>
      </c>
      <c r="AR10" t="s">
        <v>65</v>
      </c>
      <c r="AS10">
        <v>1</v>
      </c>
      <c r="AT10" t="s">
        <v>59</v>
      </c>
      <c r="AU10" t="s">
        <v>65</v>
      </c>
      <c r="AV10">
        <v>1</v>
      </c>
      <c r="AW10" t="s">
        <v>59</v>
      </c>
      <c r="AX10" t="s">
        <v>65</v>
      </c>
      <c r="AY10">
        <v>1</v>
      </c>
      <c r="AZ10" t="s">
        <v>59</v>
      </c>
      <c r="BA10" t="s">
        <v>65</v>
      </c>
      <c r="BB10">
        <v>1</v>
      </c>
      <c r="BC10" t="s">
        <v>59</v>
      </c>
      <c r="BD10" t="s">
        <v>65</v>
      </c>
      <c r="BE10">
        <v>1</v>
      </c>
      <c r="BF10" t="s">
        <v>59</v>
      </c>
      <c r="BG10" t="s">
        <v>65</v>
      </c>
      <c r="BH10">
        <v>1</v>
      </c>
      <c r="BI10" t="s">
        <v>59</v>
      </c>
      <c r="BJ10" t="s">
        <v>378</v>
      </c>
      <c r="BK10">
        <v>50</v>
      </c>
      <c r="BL10" t="s">
        <v>389</v>
      </c>
      <c r="BM10" t="s">
        <v>378</v>
      </c>
      <c r="BN10">
        <v>50</v>
      </c>
      <c r="BO10" t="s">
        <v>389</v>
      </c>
      <c r="BP10" t="s">
        <v>378</v>
      </c>
      <c r="BQ10">
        <v>50</v>
      </c>
      <c r="BR10" t="s">
        <v>389</v>
      </c>
      <c r="BS10" t="s">
        <v>436</v>
      </c>
      <c r="BT10" s="1">
        <f>B17</f>
        <v>0</v>
      </c>
      <c r="BU10" t="s">
        <v>61</v>
      </c>
      <c r="BV10" t="s">
        <v>451</v>
      </c>
      <c r="BW10" s="1" t="e">
        <f>BW5/(BW6*BW13)</f>
        <v>#DIV/0!</v>
      </c>
      <c r="BX10" t="s">
        <v>21</v>
      </c>
      <c r="BY10" t="s">
        <v>37</v>
      </c>
      <c r="BZ10" s="1">
        <f>(BZ33*BZ11)/(1-EXP(-BZ11*BZ33))</f>
        <v>1715.9999999999995</v>
      </c>
      <c r="CB10" t="s">
        <v>65</v>
      </c>
      <c r="CC10">
        <v>1</v>
      </c>
      <c r="CD10" t="s">
        <v>59</v>
      </c>
      <c r="CE10" t="s">
        <v>65</v>
      </c>
      <c r="CF10">
        <v>1</v>
      </c>
      <c r="CG10" t="s">
        <v>59</v>
      </c>
      <c r="CH10" t="s">
        <v>65</v>
      </c>
      <c r="CI10">
        <v>1</v>
      </c>
      <c r="CJ10" t="s">
        <v>59</v>
      </c>
      <c r="CN10" t="s">
        <v>308</v>
      </c>
      <c r="CO10" s="17">
        <v>1</v>
      </c>
      <c r="CP10" t="s">
        <v>431</v>
      </c>
      <c r="CT10" t="s">
        <v>148</v>
      </c>
      <c r="CU10" s="1">
        <f>B30</f>
        <v>1359344473.5814338</v>
      </c>
      <c r="CV10" t="s">
        <v>149</v>
      </c>
      <c r="CW10" t="s">
        <v>436</v>
      </c>
      <c r="CX10" s="1">
        <f>B17</f>
        <v>0</v>
      </c>
      <c r="CY10" t="s">
        <v>61</v>
      </c>
      <c r="CZ10" t="s">
        <v>37</v>
      </c>
      <c r="DA10" s="1">
        <f>(DA39*DA11)/(1-EXP(-DA11*DA39))</f>
        <v>65.999999999999986</v>
      </c>
      <c r="DC10" t="s">
        <v>468</v>
      </c>
      <c r="DD10" s="1">
        <f>B55</f>
        <v>28.5</v>
      </c>
      <c r="DE10" t="s">
        <v>380</v>
      </c>
      <c r="DF10" t="s">
        <v>63</v>
      </c>
      <c r="DG10">
        <f>B40</f>
        <v>0</v>
      </c>
      <c r="DO10" t="s">
        <v>63</v>
      </c>
      <c r="DP10">
        <f>B40</f>
        <v>0</v>
      </c>
      <c r="DR10" t="s">
        <v>255</v>
      </c>
      <c r="DS10">
        <f>B58</f>
        <v>615</v>
      </c>
      <c r="DT10" t="s">
        <v>380</v>
      </c>
      <c r="DX10" t="s">
        <v>84</v>
      </c>
      <c r="DY10">
        <v>16.899999999999999</v>
      </c>
      <c r="EA10" t="s">
        <v>84</v>
      </c>
      <c r="EB10">
        <v>16.899999999999999</v>
      </c>
      <c r="ED10" t="s">
        <v>84</v>
      </c>
      <c r="EE10">
        <v>16.899999999999999</v>
      </c>
      <c r="EG10" t="s">
        <v>109</v>
      </c>
      <c r="EH10">
        <f>50.2*1000/365</f>
        <v>137.53424657534248</v>
      </c>
      <c r="EI10" t="s">
        <v>380</v>
      </c>
      <c r="EM10" t="s">
        <v>85</v>
      </c>
      <c r="EN10">
        <v>11.77</v>
      </c>
      <c r="EP10" t="s">
        <v>85</v>
      </c>
      <c r="EQ10">
        <v>11.77</v>
      </c>
      <c r="ES10" t="s">
        <v>85</v>
      </c>
      <c r="ET10">
        <v>11.77</v>
      </c>
      <c r="EV10" t="s">
        <v>262</v>
      </c>
      <c r="EW10">
        <f>14.9*1000/365</f>
        <v>40.821917808219176</v>
      </c>
      <c r="EX10" t="s">
        <v>380</v>
      </c>
      <c r="FB10" t="s">
        <v>292</v>
      </c>
      <c r="FC10">
        <v>0.2</v>
      </c>
      <c r="FE10" t="s">
        <v>292</v>
      </c>
      <c r="FF10">
        <v>0.2</v>
      </c>
      <c r="FH10" t="s">
        <v>292</v>
      </c>
      <c r="FI10">
        <v>0.2</v>
      </c>
      <c r="FK10" t="s">
        <v>236</v>
      </c>
      <c r="FL10">
        <f>45.8*1000/365</f>
        <v>125.47945205479452</v>
      </c>
      <c r="FM10" t="s">
        <v>380</v>
      </c>
      <c r="FT10" t="s">
        <v>289</v>
      </c>
      <c r="FU10" s="17">
        <v>1</v>
      </c>
      <c r="FW10" t="s">
        <v>289</v>
      </c>
      <c r="FX10" s="17">
        <v>1</v>
      </c>
      <c r="FZ10" t="s">
        <v>234</v>
      </c>
      <c r="GA10">
        <f>35.8*1000/365</f>
        <v>98.082191780821915</v>
      </c>
      <c r="GB10" t="s">
        <v>380</v>
      </c>
      <c r="GF10" t="s">
        <v>275</v>
      </c>
      <c r="GG10">
        <v>0.2</v>
      </c>
      <c r="GI10" t="s">
        <v>275</v>
      </c>
      <c r="GJ10">
        <v>0.2</v>
      </c>
      <c r="GL10" t="s">
        <v>275</v>
      </c>
      <c r="GM10">
        <v>0.2</v>
      </c>
      <c r="GO10" t="s">
        <v>268</v>
      </c>
      <c r="GP10">
        <f>27.7*1000/365</f>
        <v>75.890410958904113</v>
      </c>
      <c r="GQ10" t="s">
        <v>380</v>
      </c>
      <c r="GU10" t="s">
        <v>280</v>
      </c>
      <c r="GV10">
        <v>4.7</v>
      </c>
      <c r="GX10" t="s">
        <v>280</v>
      </c>
      <c r="GY10">
        <v>4.7</v>
      </c>
      <c r="HA10" t="s">
        <v>280</v>
      </c>
      <c r="HB10">
        <v>4.7</v>
      </c>
      <c r="HD10" t="s">
        <v>76</v>
      </c>
      <c r="HE10" s="1">
        <v>1.5</v>
      </c>
    </row>
    <row r="11" spans="1:214" x14ac:dyDescent="0.2">
      <c r="A11" s="424" t="s">
        <v>489</v>
      </c>
      <c r="B11" s="417">
        <v>2.2499999999999999E-2</v>
      </c>
      <c r="C11" s="418"/>
      <c r="D11" t="s">
        <v>77</v>
      </c>
      <c r="E11" s="427">
        <f>((E14/E15)*E24*E12*E16*E26)+((E14/E15)*E25*E13*E17*E27)</f>
        <v>6192.3076923076924</v>
      </c>
      <c r="F11" t="s">
        <v>407</v>
      </c>
      <c r="G11" t="s">
        <v>452</v>
      </c>
      <c r="H11" s="1" t="e">
        <f>H5/(H7*H16*H28)</f>
        <v>#DIV/0!</v>
      </c>
      <c r="I11" t="s">
        <v>21</v>
      </c>
      <c r="J11" t="s">
        <v>37</v>
      </c>
      <c r="K11" s="1">
        <f>(K45*K12)/(1-EXP(-K12*K45))</f>
        <v>1715.9999999999995</v>
      </c>
      <c r="M11" t="s">
        <v>462</v>
      </c>
      <c r="N11">
        <v>0.4</v>
      </c>
      <c r="P11" t="s">
        <v>462</v>
      </c>
      <c r="Q11">
        <v>0.4</v>
      </c>
      <c r="S11" t="s">
        <v>462</v>
      </c>
      <c r="T11">
        <v>0.4</v>
      </c>
      <c r="V11" t="s">
        <v>79</v>
      </c>
      <c r="W11">
        <v>8</v>
      </c>
      <c r="X11" t="s">
        <v>80</v>
      </c>
      <c r="Y11" t="s">
        <v>79</v>
      </c>
      <c r="Z11">
        <v>8</v>
      </c>
      <c r="AA11" t="s">
        <v>80</v>
      </c>
      <c r="AB11" t="s">
        <v>65</v>
      </c>
      <c r="AC11">
        <v>1</v>
      </c>
      <c r="AD11">
        <v>1</v>
      </c>
      <c r="AE11">
        <v>1</v>
      </c>
      <c r="AF11">
        <v>1</v>
      </c>
      <c r="AG11">
        <v>1</v>
      </c>
      <c r="AH11" t="s">
        <v>88</v>
      </c>
      <c r="AI11" t="s">
        <v>462</v>
      </c>
      <c r="AJ11">
        <v>0.4</v>
      </c>
      <c r="AL11" t="s">
        <v>462</v>
      </c>
      <c r="AM11">
        <v>0.4</v>
      </c>
      <c r="AO11" t="s">
        <v>462</v>
      </c>
      <c r="AP11">
        <v>0.4</v>
      </c>
      <c r="AR11" t="s">
        <v>462</v>
      </c>
      <c r="AS11">
        <v>0.4</v>
      </c>
      <c r="AU11" t="s">
        <v>462</v>
      </c>
      <c r="AV11">
        <v>0.4</v>
      </c>
      <c r="AX11" t="s">
        <v>462</v>
      </c>
      <c r="AY11">
        <v>0.4</v>
      </c>
      <c r="BA11" t="s">
        <v>462</v>
      </c>
      <c r="BB11">
        <v>0.4</v>
      </c>
      <c r="BD11" t="s">
        <v>462</v>
      </c>
      <c r="BE11">
        <v>0.4</v>
      </c>
      <c r="BG11" t="s">
        <v>462</v>
      </c>
      <c r="BH11">
        <v>0.4</v>
      </c>
      <c r="BJ11" t="s">
        <v>377</v>
      </c>
      <c r="BK11">
        <v>5</v>
      </c>
      <c r="BL11" t="s">
        <v>390</v>
      </c>
      <c r="BM11" t="s">
        <v>377</v>
      </c>
      <c r="BN11">
        <v>5</v>
      </c>
      <c r="BO11" t="s">
        <v>390</v>
      </c>
      <c r="BP11" t="s">
        <v>377</v>
      </c>
      <c r="BQ11">
        <v>5</v>
      </c>
      <c r="BR11" t="s">
        <v>390</v>
      </c>
      <c r="BS11" t="s">
        <v>77</v>
      </c>
      <c r="BT11" s="427">
        <f>(BT25*BT17*BT14*(1/24)*BT12*BT29)+(BT26*BT18*BT15*(1/24)*BT13*BT30)</f>
        <v>93.75</v>
      </c>
      <c r="BU11" t="s">
        <v>407</v>
      </c>
      <c r="BV11" t="s">
        <v>452</v>
      </c>
      <c r="BW11" s="1"/>
      <c r="BX11" t="s">
        <v>21</v>
      </c>
      <c r="BY11" t="s">
        <v>49</v>
      </c>
      <c r="BZ11" s="1">
        <f>0.693/BZ12</f>
        <v>65.999999999999986</v>
      </c>
      <c r="CB11" t="s">
        <v>463</v>
      </c>
      <c r="CC11" s="1">
        <f>B2</f>
        <v>6.8000000000000005E-2</v>
      </c>
      <c r="CE11" t="s">
        <v>463</v>
      </c>
      <c r="CF11" s="1">
        <f>B5</f>
        <v>3.7100000000000001E-2</v>
      </c>
      <c r="CH11" t="s">
        <v>463</v>
      </c>
      <c r="CI11" s="1">
        <f>B9</f>
        <v>5.8400000000000001E-2</v>
      </c>
      <c r="CN11" t="s">
        <v>305</v>
      </c>
      <c r="CO11" s="17">
        <v>1</v>
      </c>
      <c r="CP11" t="s">
        <v>431</v>
      </c>
      <c r="CT11" t="s">
        <v>37</v>
      </c>
      <c r="CU11" s="1">
        <f>(CU45*CU12)/(1-EXP(-CU12*CU45))</f>
        <v>2639.9999999999995</v>
      </c>
      <c r="CW11" t="s">
        <v>77</v>
      </c>
      <c r="CX11" s="427">
        <f>((CX15/24)*CX24*CX12*CX16*CX26)+((CX14/24)*CX25*CX13*CX17*CX27)</f>
        <v>6475</v>
      </c>
      <c r="CY11" t="s">
        <v>407</v>
      </c>
      <c r="CZ11" t="s">
        <v>49</v>
      </c>
      <c r="DA11" s="1">
        <f>0.693/DA12</f>
        <v>65.999999999999986</v>
      </c>
      <c r="DC11" t="s">
        <v>470</v>
      </c>
      <c r="DD11" s="427">
        <f>(DD12*DD15*DD16*DD22)+(DD13*DD14*DD17*DD23)</f>
        <v>17496.5</v>
      </c>
      <c r="DE11" t="s">
        <v>213</v>
      </c>
      <c r="DF11" t="s">
        <v>92</v>
      </c>
      <c r="DG11">
        <f>DG19+DG20</f>
        <v>0.18144061256544503</v>
      </c>
      <c r="DO11" t="s">
        <v>92</v>
      </c>
      <c r="DP11">
        <f>DP19+DP20</f>
        <v>2.6999999999999999E-5</v>
      </c>
      <c r="DR11" t="s">
        <v>67</v>
      </c>
      <c r="DS11">
        <v>350</v>
      </c>
      <c r="DT11" t="s">
        <v>52</v>
      </c>
      <c r="DX11" t="s">
        <v>93</v>
      </c>
      <c r="DY11">
        <v>0.41</v>
      </c>
      <c r="EA11" t="s">
        <v>93</v>
      </c>
      <c r="EB11">
        <v>0.41</v>
      </c>
      <c r="ED11" t="s">
        <v>93</v>
      </c>
      <c r="EE11">
        <v>0.41</v>
      </c>
      <c r="EG11" t="s">
        <v>67</v>
      </c>
      <c r="EH11">
        <v>350</v>
      </c>
      <c r="EI11" t="s">
        <v>52</v>
      </c>
      <c r="EM11" t="s">
        <v>94</v>
      </c>
      <c r="EN11">
        <v>0.39</v>
      </c>
      <c r="EP11" t="s">
        <v>94</v>
      </c>
      <c r="EQ11">
        <v>0.39</v>
      </c>
      <c r="ES11" t="s">
        <v>94</v>
      </c>
      <c r="ET11">
        <v>0.39</v>
      </c>
      <c r="EV11" t="s">
        <v>385</v>
      </c>
      <c r="EW11">
        <v>350</v>
      </c>
      <c r="EX11" t="s">
        <v>52</v>
      </c>
      <c r="FB11" t="s">
        <v>291</v>
      </c>
      <c r="FC11">
        <v>2.1999999999999999E-2</v>
      </c>
      <c r="FE11" t="s">
        <v>291</v>
      </c>
      <c r="FF11">
        <v>2.1999999999999999E-2</v>
      </c>
      <c r="FH11" t="s">
        <v>291</v>
      </c>
      <c r="FI11">
        <v>2.1999999999999999E-2</v>
      </c>
      <c r="FK11" t="s">
        <v>385</v>
      </c>
      <c r="FL11">
        <v>350</v>
      </c>
      <c r="FM11" t="s">
        <v>52</v>
      </c>
      <c r="FT11" t="s">
        <v>288</v>
      </c>
      <c r="FU11" s="17">
        <v>1</v>
      </c>
      <c r="FW11" t="s">
        <v>288</v>
      </c>
      <c r="FX11" s="17">
        <v>1</v>
      </c>
      <c r="FZ11" t="s">
        <v>385</v>
      </c>
      <c r="GA11">
        <v>350</v>
      </c>
      <c r="GB11" t="s">
        <v>52</v>
      </c>
      <c r="GF11" t="s">
        <v>276</v>
      </c>
      <c r="GG11">
        <v>2.1999999999999999E-2</v>
      </c>
      <c r="GI11" t="s">
        <v>276</v>
      </c>
      <c r="GJ11">
        <v>2.1999999999999999E-2</v>
      </c>
      <c r="GL11" t="s">
        <v>276</v>
      </c>
      <c r="GM11">
        <v>2.1999999999999999E-2</v>
      </c>
      <c r="GO11" t="s">
        <v>385</v>
      </c>
      <c r="GP11">
        <v>350</v>
      </c>
      <c r="GQ11" t="s">
        <v>52</v>
      </c>
      <c r="GU11" t="s">
        <v>281</v>
      </c>
      <c r="GV11">
        <v>0.37</v>
      </c>
      <c r="GX11" t="s">
        <v>281</v>
      </c>
      <c r="GY11">
        <v>0.37</v>
      </c>
      <c r="HA11" t="s">
        <v>281</v>
      </c>
      <c r="HB11">
        <v>0.37</v>
      </c>
      <c r="HD11" t="s">
        <v>86</v>
      </c>
      <c r="HE11">
        <v>26</v>
      </c>
    </row>
    <row r="12" spans="1:214" ht="13.5" thickBot="1" x14ac:dyDescent="0.25">
      <c r="A12" s="421" t="s">
        <v>429</v>
      </c>
      <c r="B12" s="422">
        <v>0.46300000000000002</v>
      </c>
      <c r="C12" s="423"/>
      <c r="D12" t="s">
        <v>87</v>
      </c>
      <c r="E12">
        <f>B45</f>
        <v>10</v>
      </c>
      <c r="F12" t="s">
        <v>78</v>
      </c>
      <c r="G12" t="s">
        <v>457</v>
      </c>
      <c r="H12" s="1">
        <f>H5/(H8*(1/H45)*H21)</f>
        <v>1768399.8683172558</v>
      </c>
      <c r="I12" t="s">
        <v>21</v>
      </c>
      <c r="J12" t="s">
        <v>49</v>
      </c>
      <c r="K12" s="1">
        <f>0.693/K13</f>
        <v>65.999999999999986</v>
      </c>
      <c r="M12" t="s">
        <v>463</v>
      </c>
      <c r="N12" s="1">
        <f>B2</f>
        <v>6.8000000000000005E-2</v>
      </c>
      <c r="P12" t="s">
        <v>463</v>
      </c>
      <c r="Q12" s="1">
        <f>B5</f>
        <v>3.7100000000000001E-2</v>
      </c>
      <c r="S12" t="s">
        <v>463</v>
      </c>
      <c r="T12" s="1">
        <f>B9</f>
        <v>5.8400000000000001E-2</v>
      </c>
      <c r="W12">
        <v>24</v>
      </c>
      <c r="X12" t="s">
        <v>80</v>
      </c>
      <c r="Z12">
        <v>24</v>
      </c>
      <c r="AA12" t="s">
        <v>80</v>
      </c>
      <c r="AB12" t="s">
        <v>377</v>
      </c>
      <c r="AF12">
        <v>5</v>
      </c>
      <c r="AG12">
        <v>5</v>
      </c>
      <c r="AH12" t="s">
        <v>193</v>
      </c>
      <c r="AI12" t="s">
        <v>463</v>
      </c>
      <c r="AJ12" s="1">
        <f>B2</f>
        <v>6.8000000000000005E-2</v>
      </c>
      <c r="AL12" t="s">
        <v>463</v>
      </c>
      <c r="AM12" s="1">
        <f>B5</f>
        <v>3.7100000000000001E-2</v>
      </c>
      <c r="AO12" t="s">
        <v>463</v>
      </c>
      <c r="AP12" s="1">
        <f>B9</f>
        <v>5.8400000000000001E-2</v>
      </c>
      <c r="AR12" t="s">
        <v>463</v>
      </c>
      <c r="AS12" s="1">
        <f>B2</f>
        <v>6.8000000000000005E-2</v>
      </c>
      <c r="AU12" t="s">
        <v>463</v>
      </c>
      <c r="AV12" s="1">
        <f>B5</f>
        <v>3.7100000000000001E-2</v>
      </c>
      <c r="AX12" t="s">
        <v>463</v>
      </c>
      <c r="AY12" s="1">
        <f>B9</f>
        <v>5.8400000000000001E-2</v>
      </c>
      <c r="BA12" t="s">
        <v>463</v>
      </c>
      <c r="BB12" s="1">
        <f>B2</f>
        <v>6.8000000000000005E-2</v>
      </c>
      <c r="BD12" t="s">
        <v>463</v>
      </c>
      <c r="BE12" s="1">
        <f>B5</f>
        <v>3.7100000000000001E-2</v>
      </c>
      <c r="BG12" t="s">
        <v>463</v>
      </c>
      <c r="BH12" s="1">
        <f>B9</f>
        <v>5.8400000000000001E-2</v>
      </c>
      <c r="BJ12" t="s">
        <v>65</v>
      </c>
      <c r="BK12">
        <v>1</v>
      </c>
      <c r="BL12" t="s">
        <v>59</v>
      </c>
      <c r="BM12" t="s">
        <v>65</v>
      </c>
      <c r="BN12">
        <v>1</v>
      </c>
      <c r="BO12" t="s">
        <v>59</v>
      </c>
      <c r="BP12" t="s">
        <v>65</v>
      </c>
      <c r="BQ12">
        <v>1</v>
      </c>
      <c r="BR12" t="s">
        <v>59</v>
      </c>
      <c r="BS12" t="s">
        <v>87</v>
      </c>
      <c r="BT12">
        <f>B45</f>
        <v>10</v>
      </c>
      <c r="BU12" t="s">
        <v>78</v>
      </c>
      <c r="BV12" t="s">
        <v>457</v>
      </c>
      <c r="BW12" s="1">
        <f>BW5/(BW8*(1/BW32)*BW16)</f>
        <v>4612954.1864139019</v>
      </c>
      <c r="BX12" t="s">
        <v>21</v>
      </c>
      <c r="BY12" t="s">
        <v>411</v>
      </c>
      <c r="BZ12" s="1">
        <f>B29</f>
        <v>1.0500000000000001E-2</v>
      </c>
      <c r="CA12" t="s">
        <v>119</v>
      </c>
      <c r="CB12" t="s">
        <v>105</v>
      </c>
      <c r="CC12" s="1">
        <f>B3</f>
        <v>0.75600000000000001</v>
      </c>
      <c r="CE12" t="s">
        <v>105</v>
      </c>
      <c r="CF12" s="1">
        <f>B6</f>
        <v>0.65</v>
      </c>
      <c r="CH12" t="s">
        <v>105</v>
      </c>
      <c r="CI12" s="1">
        <f>B10</f>
        <v>0.70099999999999996</v>
      </c>
      <c r="CN12" t="s">
        <v>306</v>
      </c>
      <c r="CO12" s="17">
        <v>1</v>
      </c>
      <c r="CP12" t="s">
        <v>75</v>
      </c>
      <c r="CT12" t="s">
        <v>49</v>
      </c>
      <c r="CU12" s="1">
        <f>0.693/CU13</f>
        <v>65.999999999999986</v>
      </c>
      <c r="CW12" t="s">
        <v>87</v>
      </c>
      <c r="CX12">
        <f>B45</f>
        <v>10</v>
      </c>
      <c r="CY12" t="s">
        <v>78</v>
      </c>
      <c r="CZ12" t="s">
        <v>411</v>
      </c>
      <c r="DA12" s="1">
        <f>B29</f>
        <v>1.0500000000000001E-2</v>
      </c>
      <c r="DB12" t="s">
        <v>119</v>
      </c>
      <c r="DC12" t="s">
        <v>471</v>
      </c>
      <c r="DD12" s="1">
        <f>B52</f>
        <v>14.8</v>
      </c>
      <c r="DE12" t="s">
        <v>380</v>
      </c>
      <c r="DF12" t="s">
        <v>101</v>
      </c>
      <c r="DG12">
        <v>10950</v>
      </c>
      <c r="DH12" t="s">
        <v>102</v>
      </c>
      <c r="DO12" t="s">
        <v>101</v>
      </c>
      <c r="DP12">
        <v>10950</v>
      </c>
      <c r="DQ12" t="s">
        <v>102</v>
      </c>
      <c r="DR12" t="s">
        <v>73</v>
      </c>
      <c r="DS12">
        <v>350</v>
      </c>
      <c r="DT12" t="s">
        <v>52</v>
      </c>
      <c r="DX12" t="s">
        <v>103</v>
      </c>
      <c r="DY12">
        <v>1</v>
      </c>
      <c r="EA12" t="s">
        <v>103</v>
      </c>
      <c r="EB12">
        <v>1</v>
      </c>
      <c r="ED12" t="s">
        <v>103</v>
      </c>
      <c r="EE12">
        <v>1</v>
      </c>
      <c r="EG12" t="s">
        <v>73</v>
      </c>
      <c r="EH12">
        <v>350</v>
      </c>
      <c r="EI12" t="s">
        <v>52</v>
      </c>
      <c r="EM12" t="s">
        <v>104</v>
      </c>
      <c r="EN12">
        <v>1</v>
      </c>
      <c r="EP12" t="s">
        <v>104</v>
      </c>
      <c r="EQ12">
        <v>1</v>
      </c>
      <c r="ES12" t="s">
        <v>104</v>
      </c>
      <c r="ET12">
        <v>1</v>
      </c>
      <c r="EV12" t="s">
        <v>386</v>
      </c>
      <c r="EW12">
        <v>350</v>
      </c>
      <c r="EX12" t="s">
        <v>52</v>
      </c>
      <c r="FB12" t="s">
        <v>293</v>
      </c>
      <c r="FC12" s="17">
        <v>1</v>
      </c>
      <c r="FE12" t="s">
        <v>293</v>
      </c>
      <c r="FF12" s="17">
        <v>1</v>
      </c>
      <c r="FH12" t="s">
        <v>293</v>
      </c>
      <c r="FI12" s="17">
        <v>1</v>
      </c>
      <c r="FK12" t="s">
        <v>386</v>
      </c>
      <c r="FL12">
        <v>350</v>
      </c>
      <c r="FM12" t="s">
        <v>52</v>
      </c>
      <c r="FT12" t="s">
        <v>287</v>
      </c>
      <c r="FU12" s="17">
        <v>1</v>
      </c>
      <c r="FW12" t="s">
        <v>287</v>
      </c>
      <c r="FX12" s="17">
        <v>1</v>
      </c>
      <c r="FZ12" t="s">
        <v>386</v>
      </c>
      <c r="GA12">
        <v>350</v>
      </c>
      <c r="GB12" t="s">
        <v>52</v>
      </c>
      <c r="GF12" t="s">
        <v>277</v>
      </c>
      <c r="GG12">
        <v>1</v>
      </c>
      <c r="GI12" t="s">
        <v>277</v>
      </c>
      <c r="GJ12">
        <v>1</v>
      </c>
      <c r="GL12" t="s">
        <v>277</v>
      </c>
      <c r="GM12">
        <v>1</v>
      </c>
      <c r="GO12" t="s">
        <v>386</v>
      </c>
      <c r="GP12">
        <v>350</v>
      </c>
      <c r="GQ12" t="s">
        <v>52</v>
      </c>
      <c r="GU12" t="s">
        <v>282</v>
      </c>
      <c r="GV12">
        <v>1</v>
      </c>
      <c r="GX12" t="s">
        <v>282</v>
      </c>
      <c r="GY12">
        <v>1</v>
      </c>
      <c r="HA12" t="s">
        <v>282</v>
      </c>
      <c r="HB12">
        <v>1</v>
      </c>
      <c r="HE12" s="1"/>
    </row>
    <row r="13" spans="1:214" ht="13.5" thickTop="1" x14ac:dyDescent="0.2">
      <c r="A13" s="442" t="s">
        <v>413</v>
      </c>
      <c r="B13" s="443"/>
      <c r="C13" s="444"/>
      <c r="D13" t="s">
        <v>95</v>
      </c>
      <c r="E13">
        <f>B46</f>
        <v>20</v>
      </c>
      <c r="F13" t="s">
        <v>78</v>
      </c>
      <c r="G13" t="s">
        <v>454</v>
      </c>
      <c r="H13" s="1" t="e">
        <f>H14/((1/H42)*(H50+H51+H52))</f>
        <v>#DIV/0!</v>
      </c>
      <c r="I13" t="s">
        <v>21</v>
      </c>
      <c r="J13" t="s">
        <v>411</v>
      </c>
      <c r="K13" s="1">
        <f>B29</f>
        <v>1.0500000000000001E-2</v>
      </c>
      <c r="L13" t="s">
        <v>119</v>
      </c>
      <c r="M13" t="s">
        <v>105</v>
      </c>
      <c r="N13" s="1">
        <f>B3</f>
        <v>0.75600000000000001</v>
      </c>
      <c r="P13" t="s">
        <v>105</v>
      </c>
      <c r="Q13" s="1">
        <f>B6</f>
        <v>0.65</v>
      </c>
      <c r="S13" t="s">
        <v>105</v>
      </c>
      <c r="T13" s="1">
        <f>B10</f>
        <v>0.70099999999999996</v>
      </c>
      <c r="V13" t="s">
        <v>96</v>
      </c>
      <c r="W13">
        <f>B47</f>
        <v>60</v>
      </c>
      <c r="X13" t="s">
        <v>78</v>
      </c>
      <c r="Y13" t="s">
        <v>96</v>
      </c>
      <c r="Z13">
        <f>B47</f>
        <v>60</v>
      </c>
      <c r="AA13" t="s">
        <v>78</v>
      </c>
      <c r="AB13" t="s">
        <v>378</v>
      </c>
      <c r="AF13">
        <v>50</v>
      </c>
      <c r="AG13">
        <v>50</v>
      </c>
      <c r="AH13" t="s">
        <v>379</v>
      </c>
      <c r="AI13" t="s">
        <v>105</v>
      </c>
      <c r="AJ13" s="1">
        <f>B3</f>
        <v>0.75600000000000001</v>
      </c>
      <c r="AL13" t="s">
        <v>105</v>
      </c>
      <c r="AM13" s="1">
        <f>B6</f>
        <v>0.65</v>
      </c>
      <c r="AO13" t="s">
        <v>105</v>
      </c>
      <c r="AP13" s="1">
        <f>B10</f>
        <v>0.70099999999999996</v>
      </c>
      <c r="AR13" t="s">
        <v>105</v>
      </c>
      <c r="AS13" s="1">
        <f>B3</f>
        <v>0.75600000000000001</v>
      </c>
      <c r="AU13" t="s">
        <v>105</v>
      </c>
      <c r="AV13" s="1">
        <f>B6</f>
        <v>0.65</v>
      </c>
      <c r="AX13" t="s">
        <v>105</v>
      </c>
      <c r="AY13" s="1">
        <f>B10</f>
        <v>0.70099999999999996</v>
      </c>
      <c r="BA13" t="s">
        <v>105</v>
      </c>
      <c r="BB13" s="1">
        <f>B3</f>
        <v>0.75600000000000001</v>
      </c>
      <c r="BD13" t="s">
        <v>105</v>
      </c>
      <c r="BE13" s="1">
        <f>B6</f>
        <v>0.65</v>
      </c>
      <c r="BG13" t="s">
        <v>105</v>
      </c>
      <c r="BH13" s="1">
        <f>B10</f>
        <v>0.70099999999999996</v>
      </c>
      <c r="BJ13" t="s">
        <v>463</v>
      </c>
      <c r="BK13" s="1">
        <f>B2</f>
        <v>6.8000000000000005E-2</v>
      </c>
      <c r="BM13" t="s">
        <v>463</v>
      </c>
      <c r="BN13" s="1">
        <f>B5</f>
        <v>3.7100000000000001E-2</v>
      </c>
      <c r="BP13" t="s">
        <v>463</v>
      </c>
      <c r="BQ13" s="1">
        <f>B9</f>
        <v>5.8400000000000001E-2</v>
      </c>
      <c r="BS13" t="s">
        <v>95</v>
      </c>
      <c r="BT13">
        <f>B46</f>
        <v>20</v>
      </c>
      <c r="BU13" t="s">
        <v>78</v>
      </c>
      <c r="BV13" t="s">
        <v>81</v>
      </c>
      <c r="BW13" s="426">
        <f>((BW18*BW21*BW23*BW26*BW14*BW33)+(BW19*BW22*BW24*BW27*BW15*BW34))</f>
        <v>147.6</v>
      </c>
      <c r="BX13" t="s">
        <v>180</v>
      </c>
      <c r="BY13" t="s">
        <v>451</v>
      </c>
      <c r="BZ13" s="1" t="e">
        <f>(BZ5/(BZ6*BZ16*(1/BZ36)))*BZ10</f>
        <v>#DIV/0!</v>
      </c>
      <c r="CA13" t="s">
        <v>22</v>
      </c>
      <c r="CB13" t="s">
        <v>166</v>
      </c>
      <c r="CC13">
        <v>1</v>
      </c>
      <c r="CD13" t="s">
        <v>117</v>
      </c>
      <c r="CE13" t="s">
        <v>166</v>
      </c>
      <c r="CF13">
        <v>1</v>
      </c>
      <c r="CG13" t="s">
        <v>117</v>
      </c>
      <c r="CH13" t="s">
        <v>166</v>
      </c>
      <c r="CI13">
        <v>1</v>
      </c>
      <c r="CJ13" t="s">
        <v>117</v>
      </c>
      <c r="CN13" t="s">
        <v>307</v>
      </c>
      <c r="CO13" s="17">
        <v>1</v>
      </c>
      <c r="CP13" t="s">
        <v>75</v>
      </c>
      <c r="CT13" t="s">
        <v>411</v>
      </c>
      <c r="CU13" s="1">
        <f>B29</f>
        <v>1.0500000000000001E-2</v>
      </c>
      <c r="CV13" t="s">
        <v>119</v>
      </c>
      <c r="CW13" t="s">
        <v>95</v>
      </c>
      <c r="CX13">
        <f>B46</f>
        <v>20</v>
      </c>
      <c r="CY13" t="s">
        <v>78</v>
      </c>
      <c r="CZ13" t="s">
        <v>451</v>
      </c>
      <c r="DA13" s="1" t="e">
        <f>DA5/(DA6*DA24)</f>
        <v>#DIV/0!</v>
      </c>
      <c r="DB13" t="s">
        <v>24</v>
      </c>
      <c r="DC13" t="s">
        <v>472</v>
      </c>
      <c r="DD13" s="1">
        <f>B53</f>
        <v>56.2</v>
      </c>
      <c r="DE13" t="s">
        <v>380</v>
      </c>
      <c r="DF13" t="s">
        <v>110</v>
      </c>
      <c r="DG13">
        <v>240</v>
      </c>
      <c r="DH13" t="s">
        <v>111</v>
      </c>
      <c r="DO13" t="s">
        <v>110</v>
      </c>
      <c r="DP13">
        <v>240</v>
      </c>
      <c r="DQ13" t="s">
        <v>111</v>
      </c>
      <c r="DR13" t="s">
        <v>227</v>
      </c>
      <c r="DS13">
        <v>1</v>
      </c>
      <c r="DT13" t="s">
        <v>119</v>
      </c>
      <c r="DX13" t="s">
        <v>112</v>
      </c>
      <c r="DY13">
        <v>1</v>
      </c>
      <c r="EA13" t="s">
        <v>112</v>
      </c>
      <c r="EB13">
        <v>1</v>
      </c>
      <c r="ED13" t="s">
        <v>112</v>
      </c>
      <c r="EE13">
        <v>1</v>
      </c>
      <c r="EG13" t="s">
        <v>227</v>
      </c>
      <c r="EH13">
        <v>1</v>
      </c>
      <c r="EI13" t="s">
        <v>119</v>
      </c>
      <c r="EM13" t="s">
        <v>113</v>
      </c>
      <c r="EN13">
        <v>1</v>
      </c>
      <c r="EP13" t="s">
        <v>113</v>
      </c>
      <c r="EQ13">
        <v>1</v>
      </c>
      <c r="ES13" t="s">
        <v>113</v>
      </c>
      <c r="ET13">
        <v>1</v>
      </c>
      <c r="EV13" t="s">
        <v>227</v>
      </c>
      <c r="EW13">
        <v>1</v>
      </c>
      <c r="EX13" t="s">
        <v>119</v>
      </c>
      <c r="FB13" t="s">
        <v>294</v>
      </c>
      <c r="FC13" s="17">
        <v>1</v>
      </c>
      <c r="FE13" t="s">
        <v>294</v>
      </c>
      <c r="FF13" s="17">
        <v>1</v>
      </c>
      <c r="FH13" t="s">
        <v>294</v>
      </c>
      <c r="FI13" s="17">
        <v>1</v>
      </c>
      <c r="FK13" t="s">
        <v>227</v>
      </c>
      <c r="FL13">
        <v>1</v>
      </c>
      <c r="FM13" t="s">
        <v>119</v>
      </c>
      <c r="FT13" t="s">
        <v>286</v>
      </c>
      <c r="FU13" s="17">
        <v>1</v>
      </c>
      <c r="FW13" t="s">
        <v>286</v>
      </c>
      <c r="FX13" s="17">
        <v>1</v>
      </c>
      <c r="FZ13" t="s">
        <v>227</v>
      </c>
      <c r="GA13">
        <v>1</v>
      </c>
      <c r="GB13" t="s">
        <v>119</v>
      </c>
      <c r="GF13" t="s">
        <v>278</v>
      </c>
      <c r="GG13">
        <v>1</v>
      </c>
      <c r="GI13" t="s">
        <v>278</v>
      </c>
      <c r="GJ13">
        <v>1</v>
      </c>
      <c r="GL13" t="s">
        <v>278</v>
      </c>
      <c r="GM13">
        <v>1</v>
      </c>
      <c r="GO13" t="s">
        <v>227</v>
      </c>
      <c r="GP13">
        <v>1</v>
      </c>
      <c r="GQ13" t="s">
        <v>119</v>
      </c>
      <c r="GU13" t="s">
        <v>283</v>
      </c>
      <c r="GV13">
        <v>1</v>
      </c>
      <c r="GX13" t="s">
        <v>283</v>
      </c>
      <c r="GY13">
        <v>1</v>
      </c>
      <c r="HA13" t="s">
        <v>283</v>
      </c>
      <c r="HB13">
        <v>1</v>
      </c>
      <c r="HD13" t="s">
        <v>391</v>
      </c>
      <c r="HE13" s="1">
        <v>10</v>
      </c>
    </row>
    <row r="14" spans="1:214" x14ac:dyDescent="0.2">
      <c r="A14" s="445"/>
      <c r="B14" s="446"/>
      <c r="C14" s="447"/>
      <c r="D14" t="s">
        <v>106</v>
      </c>
      <c r="E14">
        <v>24</v>
      </c>
      <c r="F14" t="s">
        <v>80</v>
      </c>
      <c r="G14" t="s">
        <v>455</v>
      </c>
      <c r="H14" s="1" t="e">
        <f>H5/(H9*(H22+H25)*H43)</f>
        <v>#DIV/0!</v>
      </c>
      <c r="I14" t="s">
        <v>22</v>
      </c>
      <c r="J14" t="s">
        <v>451</v>
      </c>
      <c r="K14" s="1" t="e">
        <f>(K5/(K6*K19*(1/K48)))*K11</f>
        <v>#DIV/0!</v>
      </c>
      <c r="L14" t="s">
        <v>22</v>
      </c>
      <c r="M14" t="s">
        <v>114</v>
      </c>
      <c r="N14">
        <v>7.2999999999999995E-2</v>
      </c>
      <c r="O14" t="s">
        <v>115</v>
      </c>
      <c r="P14" t="s">
        <v>114</v>
      </c>
      <c r="Q14">
        <v>7.2999999999999995E-2</v>
      </c>
      <c r="R14" t="s">
        <v>115</v>
      </c>
      <c r="S14" t="s">
        <v>114</v>
      </c>
      <c r="T14">
        <v>7.2999999999999995E-2</v>
      </c>
      <c r="U14" t="s">
        <v>115</v>
      </c>
      <c r="V14" t="s">
        <v>445</v>
      </c>
      <c r="W14" s="1">
        <f>B26</f>
        <v>9.7300000000000008E-3</v>
      </c>
      <c r="X14" t="s">
        <v>107</v>
      </c>
      <c r="Y14" t="s">
        <v>445</v>
      </c>
      <c r="Z14" s="1">
        <f>B26</f>
        <v>9.7300000000000008E-3</v>
      </c>
      <c r="AA14" t="s">
        <v>107</v>
      </c>
      <c r="AB14" t="s">
        <v>116</v>
      </c>
      <c r="AF14">
        <v>8</v>
      </c>
      <c r="AG14">
        <v>8</v>
      </c>
      <c r="AH14" t="s">
        <v>80</v>
      </c>
      <c r="AI14" t="s">
        <v>114</v>
      </c>
      <c r="AJ14">
        <v>0</v>
      </c>
      <c r="AK14" t="s">
        <v>115</v>
      </c>
      <c r="AL14" t="s">
        <v>114</v>
      </c>
      <c r="AM14">
        <v>0</v>
      </c>
      <c r="AN14" t="s">
        <v>115</v>
      </c>
      <c r="AO14" t="s">
        <v>114</v>
      </c>
      <c r="AP14">
        <v>0</v>
      </c>
      <c r="AQ14" t="s">
        <v>115</v>
      </c>
      <c r="AR14" t="s">
        <v>114</v>
      </c>
      <c r="AS14">
        <f>8/24</f>
        <v>0.33333333333333331</v>
      </c>
      <c r="AT14" t="s">
        <v>115</v>
      </c>
      <c r="AU14" t="s">
        <v>114</v>
      </c>
      <c r="AV14">
        <f>8/24</f>
        <v>0.33333333333333331</v>
      </c>
      <c r="AW14" t="s">
        <v>115</v>
      </c>
      <c r="AX14" t="s">
        <v>116</v>
      </c>
      <c r="AY14">
        <f>8/24</f>
        <v>0.33333333333333331</v>
      </c>
      <c r="AZ14" t="s">
        <v>117</v>
      </c>
      <c r="BA14" t="s">
        <v>114</v>
      </c>
      <c r="BB14">
        <f>8/24</f>
        <v>0.33333333333333331</v>
      </c>
      <c r="BC14" t="s">
        <v>115</v>
      </c>
      <c r="BD14" t="s">
        <v>114</v>
      </c>
      <c r="BE14">
        <f>8/24</f>
        <v>0.33333333333333331</v>
      </c>
      <c r="BF14" t="s">
        <v>115</v>
      </c>
      <c r="BG14" t="s">
        <v>116</v>
      </c>
      <c r="BH14">
        <f>8/24</f>
        <v>0.33333333333333331</v>
      </c>
      <c r="BI14" t="s">
        <v>117</v>
      </c>
      <c r="BJ14" t="s">
        <v>105</v>
      </c>
      <c r="BK14" s="1">
        <f>B3</f>
        <v>0.75600000000000001</v>
      </c>
      <c r="BM14" t="s">
        <v>105</v>
      </c>
      <c r="BN14" s="1">
        <f>B6</f>
        <v>0.65</v>
      </c>
      <c r="BP14" t="s">
        <v>105</v>
      </c>
      <c r="BQ14" s="1">
        <f>B10</f>
        <v>0.70099999999999996</v>
      </c>
      <c r="BS14" t="s">
        <v>399</v>
      </c>
      <c r="BT14">
        <v>1</v>
      </c>
      <c r="BU14" t="s">
        <v>80</v>
      </c>
      <c r="BV14" t="s">
        <v>97</v>
      </c>
      <c r="BW14">
        <f>B50</f>
        <v>0.78</v>
      </c>
      <c r="BX14" t="s">
        <v>89</v>
      </c>
      <c r="BY14" t="s">
        <v>452</v>
      </c>
      <c r="BZ14" s="1" t="e">
        <f>(BZ5/(BZ7*BZ17*(1/BZ9)*BZ35))*BZ10</f>
        <v>#DIV/0!</v>
      </c>
      <c r="CA14" t="s">
        <v>22</v>
      </c>
      <c r="CB14" t="s">
        <v>460</v>
      </c>
      <c r="CC14" s="1">
        <f>B21</f>
        <v>10.6</v>
      </c>
      <c r="CD14" t="s">
        <v>121</v>
      </c>
      <c r="CE14" t="s">
        <v>460</v>
      </c>
      <c r="CF14" s="1">
        <f>B23</f>
        <v>1.94</v>
      </c>
      <c r="CG14" t="s">
        <v>121</v>
      </c>
      <c r="CH14" t="s">
        <v>460</v>
      </c>
      <c r="CI14" s="1">
        <f>B25</f>
        <v>8.91</v>
      </c>
      <c r="CJ14" t="s">
        <v>121</v>
      </c>
      <c r="CT14" t="s">
        <v>451</v>
      </c>
      <c r="CU14" s="1" t="e">
        <f>(CU5/(CU6*CU25*(1/CU48)))*CU11</f>
        <v>#DIV/0!</v>
      </c>
      <c r="CV14" t="s">
        <v>22</v>
      </c>
      <c r="CW14" t="s">
        <v>165</v>
      </c>
      <c r="CX14">
        <v>24</v>
      </c>
      <c r="CY14" t="s">
        <v>80</v>
      </c>
      <c r="CZ14" t="s">
        <v>452</v>
      </c>
      <c r="DA14" s="1" t="e">
        <f>DA5/(DA7*DA25*DA47)</f>
        <v>#DIV/0!</v>
      </c>
      <c r="DB14" t="s">
        <v>24</v>
      </c>
      <c r="DC14" t="s">
        <v>247</v>
      </c>
      <c r="DD14">
        <v>350</v>
      </c>
      <c r="DE14" t="s">
        <v>52</v>
      </c>
      <c r="DF14" t="s">
        <v>120</v>
      </c>
      <c r="DG14">
        <v>0.26</v>
      </c>
      <c r="DO14" t="s">
        <v>120</v>
      </c>
      <c r="DP14">
        <v>0.26</v>
      </c>
      <c r="DR14" t="s">
        <v>228</v>
      </c>
      <c r="DS14">
        <v>1</v>
      </c>
      <c r="DT14" t="s">
        <v>119</v>
      </c>
      <c r="ED14" t="s">
        <v>120</v>
      </c>
      <c r="EE14">
        <v>0.25</v>
      </c>
      <c r="EG14" t="s">
        <v>228</v>
      </c>
      <c r="EH14">
        <v>1</v>
      </c>
      <c r="EI14" t="s">
        <v>119</v>
      </c>
      <c r="ES14" t="s">
        <v>120</v>
      </c>
      <c r="ET14">
        <v>0.25</v>
      </c>
      <c r="EV14" t="s">
        <v>228</v>
      </c>
      <c r="EW14">
        <v>1</v>
      </c>
      <c r="EX14" t="s">
        <v>119</v>
      </c>
      <c r="FH14" t="s">
        <v>120</v>
      </c>
      <c r="FI14">
        <v>0.25</v>
      </c>
      <c r="FK14" t="s">
        <v>228</v>
      </c>
      <c r="FL14">
        <v>1</v>
      </c>
      <c r="FM14" t="s">
        <v>119</v>
      </c>
      <c r="FT14" t="s">
        <v>186</v>
      </c>
      <c r="FU14" s="1">
        <f>B34</f>
        <v>0</v>
      </c>
      <c r="FW14" t="s">
        <v>120</v>
      </c>
      <c r="FX14">
        <v>0.25</v>
      </c>
      <c r="FZ14" t="s">
        <v>228</v>
      </c>
      <c r="GA14">
        <v>1</v>
      </c>
      <c r="GB14" t="s">
        <v>119</v>
      </c>
      <c r="GL14" t="s">
        <v>279</v>
      </c>
      <c r="GM14">
        <v>0.25</v>
      </c>
      <c r="GO14" t="s">
        <v>228</v>
      </c>
      <c r="GP14">
        <v>1</v>
      </c>
      <c r="GQ14" t="s">
        <v>119</v>
      </c>
      <c r="HA14" t="s">
        <v>120</v>
      </c>
      <c r="HB14">
        <v>0.25</v>
      </c>
      <c r="HD14" t="s">
        <v>118</v>
      </c>
      <c r="HE14">
        <v>8.1999999999999993</v>
      </c>
    </row>
    <row r="15" spans="1:214" ht="13.5" thickBot="1" x14ac:dyDescent="0.25">
      <c r="A15" s="445"/>
      <c r="B15" s="446"/>
      <c r="C15" s="447"/>
      <c r="E15">
        <v>24</v>
      </c>
      <c r="F15" t="s">
        <v>80</v>
      </c>
      <c r="G15" t="s">
        <v>81</v>
      </c>
      <c r="H15" s="3">
        <f>(H32*H29*H17*H70)+(H33*H30*H18*H71)</f>
        <v>736.07692307692309</v>
      </c>
      <c r="I15" t="s">
        <v>180</v>
      </c>
      <c r="J15" t="s">
        <v>452</v>
      </c>
      <c r="K15" s="1" t="e">
        <f>(K5/(K7*K20*(1/K10)*K47))*K11</f>
        <v>#DIV/0!</v>
      </c>
      <c r="L15" t="s">
        <v>22</v>
      </c>
      <c r="M15" t="s">
        <v>460</v>
      </c>
      <c r="N15" s="1">
        <f>B21</f>
        <v>10.6</v>
      </c>
      <c r="O15" t="s">
        <v>121</v>
      </c>
      <c r="P15" t="s">
        <v>460</v>
      </c>
      <c r="Q15" s="1">
        <f>B23</f>
        <v>1.94</v>
      </c>
      <c r="R15" t="s">
        <v>121</v>
      </c>
      <c r="S15" t="s">
        <v>460</v>
      </c>
      <c r="T15" s="1">
        <f>B25</f>
        <v>8.91</v>
      </c>
      <c r="U15" t="s">
        <v>121</v>
      </c>
      <c r="V15" t="s">
        <v>464</v>
      </c>
      <c r="W15" s="1">
        <f>B2</f>
        <v>6.8000000000000005E-2</v>
      </c>
      <c r="Y15" t="s">
        <v>464</v>
      </c>
      <c r="Z15" s="1">
        <f>B2</f>
        <v>6.8000000000000005E-2</v>
      </c>
      <c r="AB15" t="s">
        <v>124</v>
      </c>
      <c r="AC15">
        <v>1</v>
      </c>
      <c r="AD15">
        <v>1</v>
      </c>
      <c r="AE15">
        <v>1</v>
      </c>
      <c r="AF15">
        <v>1</v>
      </c>
      <c r="AG15">
        <v>1</v>
      </c>
      <c r="AI15" t="s">
        <v>460</v>
      </c>
      <c r="AJ15" s="1">
        <f>B21</f>
        <v>10.6</v>
      </c>
      <c r="AK15" t="s">
        <v>121</v>
      </c>
      <c r="AL15" t="s">
        <v>460</v>
      </c>
      <c r="AM15" s="1">
        <f>B23</f>
        <v>1.94</v>
      </c>
      <c r="AN15" t="s">
        <v>121</v>
      </c>
      <c r="AO15" t="s">
        <v>460</v>
      </c>
      <c r="AP15" s="1">
        <f>B25</f>
        <v>8.91</v>
      </c>
      <c r="AQ15" t="s">
        <v>121</v>
      </c>
      <c r="AR15" t="s">
        <v>460</v>
      </c>
      <c r="AS15" s="1">
        <f>B21</f>
        <v>10.6</v>
      </c>
      <c r="AT15" t="s">
        <v>121</v>
      </c>
      <c r="AU15" t="s">
        <v>460</v>
      </c>
      <c r="AV15" s="1">
        <f>B23</f>
        <v>1.94</v>
      </c>
      <c r="AW15" t="s">
        <v>121</v>
      </c>
      <c r="AX15" t="s">
        <v>460</v>
      </c>
      <c r="AY15" s="1">
        <f>B25</f>
        <v>8.91</v>
      </c>
      <c r="AZ15" t="s">
        <v>121</v>
      </c>
      <c r="BA15" t="s">
        <v>460</v>
      </c>
      <c r="BB15" s="1">
        <f>B21</f>
        <v>10.6</v>
      </c>
      <c r="BC15" t="s">
        <v>121</v>
      </c>
      <c r="BD15" t="s">
        <v>460</v>
      </c>
      <c r="BE15" s="1">
        <f>B23</f>
        <v>1.94</v>
      </c>
      <c r="BF15" t="s">
        <v>121</v>
      </c>
      <c r="BG15" t="s">
        <v>460</v>
      </c>
      <c r="BH15" s="1">
        <f>B25</f>
        <v>8.91</v>
      </c>
      <c r="BI15" t="s">
        <v>121</v>
      </c>
      <c r="BJ15" t="s">
        <v>114</v>
      </c>
      <c r="BK15">
        <f>8/24</f>
        <v>0.33333333333333331</v>
      </c>
      <c r="BL15" t="s">
        <v>115</v>
      </c>
      <c r="BM15" t="s">
        <v>114</v>
      </c>
      <c r="BN15">
        <f>8/24</f>
        <v>0.33333333333333331</v>
      </c>
      <c r="BO15" t="s">
        <v>115</v>
      </c>
      <c r="BP15" t="s">
        <v>116</v>
      </c>
      <c r="BQ15">
        <f>8/24</f>
        <v>0.33333333333333331</v>
      </c>
      <c r="BR15" t="s">
        <v>117</v>
      </c>
      <c r="BS15" t="s">
        <v>398</v>
      </c>
      <c r="BT15">
        <v>1</v>
      </c>
      <c r="BU15" t="s">
        <v>80</v>
      </c>
      <c r="BV15" t="s">
        <v>123</v>
      </c>
      <c r="BW15">
        <f>B51</f>
        <v>2.5</v>
      </c>
      <c r="BX15" t="s">
        <v>89</v>
      </c>
      <c r="BY15" t="s">
        <v>453</v>
      </c>
      <c r="BZ15" s="1">
        <f>((BZ5)/(BZ8*BZ22*(1/BZ34)*BZ25*BZ28*(1/24)*BZ31*BZ32))*BZ10</f>
        <v>367810.01708859636</v>
      </c>
      <c r="CA15" t="s">
        <v>22</v>
      </c>
      <c r="CT15" t="s">
        <v>452</v>
      </c>
      <c r="CU15" s="1" t="e">
        <f>(CU5/(CU7*CU26*(1/CU10)*CU47))*CU11</f>
        <v>#DIV/0!</v>
      </c>
      <c r="CV15" t="s">
        <v>22</v>
      </c>
      <c r="CW15" t="s">
        <v>163</v>
      </c>
      <c r="CX15">
        <v>24</v>
      </c>
      <c r="CY15" t="s">
        <v>80</v>
      </c>
      <c r="CZ15" t="s">
        <v>457</v>
      </c>
      <c r="DA15" s="1">
        <f>DA5/(DA8*DA26*(DA48/DA49))</f>
        <v>1732926.5439935352</v>
      </c>
      <c r="DB15" t="s">
        <v>24</v>
      </c>
      <c r="DC15" t="s">
        <v>246</v>
      </c>
      <c r="DD15">
        <v>350</v>
      </c>
      <c r="DE15" t="s">
        <v>52</v>
      </c>
      <c r="DF15" t="s">
        <v>125</v>
      </c>
      <c r="DG15">
        <v>0.42</v>
      </c>
      <c r="DH15" t="s">
        <v>75</v>
      </c>
      <c r="DO15" t="s">
        <v>125</v>
      </c>
      <c r="DP15">
        <v>0.42</v>
      </c>
      <c r="DQ15" t="s">
        <v>75</v>
      </c>
      <c r="DR15" t="s">
        <v>229</v>
      </c>
      <c r="DS15">
        <v>1</v>
      </c>
      <c r="DT15" t="s">
        <v>119</v>
      </c>
      <c r="ED15" t="s">
        <v>55</v>
      </c>
      <c r="EE15">
        <v>92</v>
      </c>
      <c r="EF15" t="s">
        <v>56</v>
      </c>
      <c r="EG15" t="s">
        <v>229</v>
      </c>
      <c r="EH15">
        <v>1</v>
      </c>
      <c r="EI15" t="s">
        <v>119</v>
      </c>
      <c r="ES15" t="s">
        <v>57</v>
      </c>
      <c r="ET15">
        <v>53</v>
      </c>
      <c r="EU15" t="s">
        <v>56</v>
      </c>
      <c r="EV15" t="s">
        <v>229</v>
      </c>
      <c r="EW15">
        <v>1</v>
      </c>
      <c r="EX15" t="s">
        <v>119</v>
      </c>
      <c r="FH15" t="s">
        <v>271</v>
      </c>
      <c r="FI15">
        <v>0.4</v>
      </c>
      <c r="FJ15" t="s">
        <v>56</v>
      </c>
      <c r="FK15" t="s">
        <v>229</v>
      </c>
      <c r="FL15">
        <v>1</v>
      </c>
      <c r="FM15" t="s">
        <v>119</v>
      </c>
      <c r="FT15" t="s">
        <v>296</v>
      </c>
      <c r="FU15" s="1">
        <v>8.1999999999999993</v>
      </c>
      <c r="FW15" t="s">
        <v>274</v>
      </c>
      <c r="FX15" s="17">
        <v>1</v>
      </c>
      <c r="FY15" t="s">
        <v>56</v>
      </c>
      <c r="FZ15" t="s">
        <v>229</v>
      </c>
      <c r="GA15">
        <v>1</v>
      </c>
      <c r="GB15" t="s">
        <v>119</v>
      </c>
      <c r="GL15" t="s">
        <v>272</v>
      </c>
      <c r="GM15">
        <v>0.4</v>
      </c>
      <c r="GN15" t="s">
        <v>56</v>
      </c>
      <c r="GO15" t="s">
        <v>229</v>
      </c>
      <c r="GP15">
        <v>1</v>
      </c>
      <c r="GQ15" t="s">
        <v>119</v>
      </c>
      <c r="HA15" t="s">
        <v>273</v>
      </c>
      <c r="HB15">
        <v>11.4</v>
      </c>
      <c r="HC15" t="s">
        <v>56</v>
      </c>
    </row>
    <row r="16" spans="1:214" ht="14.25" thickTop="1" thickBot="1" x14ac:dyDescent="0.25">
      <c r="A16" s="448"/>
      <c r="B16" s="449"/>
      <c r="C16" s="450"/>
      <c r="D16" t="s">
        <v>122</v>
      </c>
      <c r="E16">
        <v>1</v>
      </c>
      <c r="F16" t="s">
        <v>59</v>
      </c>
      <c r="G16" t="s">
        <v>77</v>
      </c>
      <c r="H16" s="426">
        <f>(H29*H19*H32*H70)+(H30*H20*H33*H71)</f>
        <v>6192.3076923076924</v>
      </c>
      <c r="I16" t="s">
        <v>407</v>
      </c>
      <c r="J16" t="s">
        <v>453</v>
      </c>
      <c r="K16" s="1">
        <f>(K5/(K8*K44*((K39*K43*(1/K37))+(K40*K42*(1/K37)))*K32*(1/K46)*K33))*K11</f>
        <v>801.65859429407067</v>
      </c>
      <c r="L16" t="s">
        <v>22</v>
      </c>
      <c r="M16" t="s">
        <v>136</v>
      </c>
      <c r="N16">
        <v>0.68300000000000005</v>
      </c>
      <c r="O16" t="s">
        <v>115</v>
      </c>
      <c r="P16" t="s">
        <v>136</v>
      </c>
      <c r="Q16">
        <v>0.68300000000000005</v>
      </c>
      <c r="R16" t="s">
        <v>115</v>
      </c>
      <c r="S16" t="s">
        <v>136</v>
      </c>
      <c r="T16">
        <v>0.68300000000000005</v>
      </c>
      <c r="U16" t="s">
        <v>115</v>
      </c>
      <c r="V16" t="s">
        <v>452</v>
      </c>
      <c r="W16" s="1" t="e">
        <f>(W5)/((W11/W12)*W8*W9*W10*W13)</f>
        <v>#DIV/0!</v>
      </c>
      <c r="X16" t="s">
        <v>36</v>
      </c>
      <c r="Y16" t="s">
        <v>452</v>
      </c>
      <c r="Z16" s="1" t="e">
        <f>(Z5)/((Z11/Z12)*Z8*Z9*Z10*Z13)</f>
        <v>#DIV/0!</v>
      </c>
      <c r="AA16" t="s">
        <v>36</v>
      </c>
      <c r="AB16" t="s">
        <v>128</v>
      </c>
      <c r="AC16">
        <v>100</v>
      </c>
      <c r="AD16">
        <v>50</v>
      </c>
      <c r="AE16">
        <v>100</v>
      </c>
      <c r="AF16">
        <v>330</v>
      </c>
      <c r="AG16">
        <v>330</v>
      </c>
      <c r="AI16" t="s">
        <v>136</v>
      </c>
      <c r="AJ16">
        <f>8/24</f>
        <v>0.33333333333333331</v>
      </c>
      <c r="AK16" t="s">
        <v>115</v>
      </c>
      <c r="AL16" t="s">
        <v>136</v>
      </c>
      <c r="AM16">
        <f>8/24</f>
        <v>0.33333333333333331</v>
      </c>
      <c r="AN16" t="s">
        <v>115</v>
      </c>
      <c r="AO16" t="s">
        <v>136</v>
      </c>
      <c r="AP16">
        <f>8/24</f>
        <v>0.33333333333333331</v>
      </c>
      <c r="AQ16" t="s">
        <v>115</v>
      </c>
      <c r="AR16" t="s">
        <v>136</v>
      </c>
      <c r="AS16">
        <v>0</v>
      </c>
      <c r="AT16" t="s">
        <v>115</v>
      </c>
      <c r="AU16" t="s">
        <v>136</v>
      </c>
      <c r="AV16">
        <v>0</v>
      </c>
      <c r="AW16" t="s">
        <v>115</v>
      </c>
      <c r="AX16" t="s">
        <v>136</v>
      </c>
      <c r="AY16">
        <v>0</v>
      </c>
      <c r="AZ16" t="s">
        <v>115</v>
      </c>
      <c r="BA16" t="s">
        <v>136</v>
      </c>
      <c r="BB16">
        <v>0</v>
      </c>
      <c r="BC16" t="s">
        <v>115</v>
      </c>
      <c r="BD16" t="s">
        <v>136</v>
      </c>
      <c r="BE16">
        <v>0</v>
      </c>
      <c r="BF16" t="s">
        <v>115</v>
      </c>
      <c r="BG16" t="s">
        <v>136</v>
      </c>
      <c r="BH16">
        <v>0</v>
      </c>
      <c r="BI16" t="s">
        <v>115</v>
      </c>
      <c r="BJ16" t="s">
        <v>460</v>
      </c>
      <c r="BK16" s="1">
        <f>B21</f>
        <v>10.6</v>
      </c>
      <c r="BL16" t="s">
        <v>121</v>
      </c>
      <c r="BM16" t="s">
        <v>460</v>
      </c>
      <c r="BN16" s="1">
        <f>B23</f>
        <v>1.94</v>
      </c>
      <c r="BO16" t="s">
        <v>121</v>
      </c>
      <c r="BP16" t="s">
        <v>460</v>
      </c>
      <c r="BQ16" s="1">
        <f>B25</f>
        <v>8.91</v>
      </c>
      <c r="BR16" t="s">
        <v>121</v>
      </c>
      <c r="BS16" t="s">
        <v>166</v>
      </c>
      <c r="BT16">
        <v>1</v>
      </c>
      <c r="BU16" t="s">
        <v>80</v>
      </c>
      <c r="BV16" t="s">
        <v>240</v>
      </c>
      <c r="BW16" s="427">
        <f>((BW18*BW21*BW23*BW26*BW33)+(BW19*BW22*BW24*BW27*BW34))</f>
        <v>90</v>
      </c>
      <c r="BX16" t="s">
        <v>408</v>
      </c>
      <c r="BY16" t="s">
        <v>82</v>
      </c>
      <c r="BZ16" s="427">
        <f>(BZ18*BZ22*BZ27*BZ37)+(BZ19*BZ23*BZ26*BZ38)</f>
        <v>22500</v>
      </c>
      <c r="CA16" t="s">
        <v>406</v>
      </c>
      <c r="CB16" s="403" t="s">
        <v>8</v>
      </c>
      <c r="CC16" s="76" t="s">
        <v>394</v>
      </c>
      <c r="CD16" s="77" t="s">
        <v>0</v>
      </c>
      <c r="CE16" s="230" t="s">
        <v>8</v>
      </c>
      <c r="CF16" s="76" t="s">
        <v>183</v>
      </c>
      <c r="CG16" s="77" t="s">
        <v>0</v>
      </c>
      <c r="CK16" s="394" t="s">
        <v>8</v>
      </c>
      <c r="CL16" s="395" t="s">
        <v>302</v>
      </c>
      <c r="CM16" s="396" t="s">
        <v>0</v>
      </c>
      <c r="CN16" s="76" t="s">
        <v>8</v>
      </c>
      <c r="CO16" s="76" t="s">
        <v>302</v>
      </c>
      <c r="CP16" s="77" t="s">
        <v>0</v>
      </c>
      <c r="CQ16" s="230" t="s">
        <v>8</v>
      </c>
      <c r="CR16" s="76" t="s">
        <v>302</v>
      </c>
      <c r="CS16" s="77" t="s">
        <v>0</v>
      </c>
      <c r="CT16" t="s">
        <v>453</v>
      </c>
      <c r="CU16" s="1">
        <f>(CU5/(CU8*CU44*((CU39*CU43*(1/CU37))+(CU40*CU42*(1/CU37)))*CU32*(1/CU46)*CU33))*CU11</f>
        <v>1706.9039884072963</v>
      </c>
      <c r="CV16" t="s">
        <v>22</v>
      </c>
      <c r="CW16" t="s">
        <v>122</v>
      </c>
      <c r="CX16">
        <v>1</v>
      </c>
      <c r="CY16" t="s">
        <v>59</v>
      </c>
      <c r="CZ16" t="s">
        <v>476</v>
      </c>
      <c r="DA16" s="1" t="e">
        <f>DG3</f>
        <v>#DIV/0!</v>
      </c>
      <c r="DB16" t="s">
        <v>24</v>
      </c>
      <c r="DC16" t="s">
        <v>227</v>
      </c>
      <c r="DD16">
        <v>1</v>
      </c>
      <c r="DE16" t="s">
        <v>119</v>
      </c>
      <c r="DF16" t="s">
        <v>129</v>
      </c>
      <c r="DG16">
        <f>DG20+(0.693/DG22)</f>
        <v>0.23091361256544501</v>
      </c>
      <c r="DH16" t="s">
        <v>130</v>
      </c>
      <c r="DO16" t="s">
        <v>129</v>
      </c>
      <c r="DP16">
        <f>DP20+(0.693/DP22)</f>
        <v>4.9499999999999995E-2</v>
      </c>
      <c r="DQ16" t="s">
        <v>130</v>
      </c>
      <c r="DS16">
        <v>1000</v>
      </c>
      <c r="DT16" t="s">
        <v>179</v>
      </c>
      <c r="ED16" t="s">
        <v>129</v>
      </c>
      <c r="EE16">
        <f>EE20+(0.693/EE22)</f>
        <v>4.9499999999999995E-2</v>
      </c>
      <c r="EF16" t="s">
        <v>130</v>
      </c>
      <c r="EH16">
        <v>1000</v>
      </c>
      <c r="EI16" t="s">
        <v>179</v>
      </c>
      <c r="ES16" t="s">
        <v>129</v>
      </c>
      <c r="ET16">
        <f>ET20+(0.693/ET22)</f>
        <v>4.9499999999999995E-2</v>
      </c>
      <c r="EU16" t="s">
        <v>130</v>
      </c>
      <c r="EW16" s="15">
        <v>1000</v>
      </c>
      <c r="EX16" t="s">
        <v>179</v>
      </c>
      <c r="FH16" t="s">
        <v>129</v>
      </c>
      <c r="FI16">
        <v>4.9499999999999995E-2</v>
      </c>
      <c r="FJ16" t="s">
        <v>130</v>
      </c>
      <c r="FL16">
        <v>1000</v>
      </c>
      <c r="FM16" t="s">
        <v>179</v>
      </c>
      <c r="FW16" t="s">
        <v>129</v>
      </c>
      <c r="FX16">
        <f>FX20+(0.693/FX22)</f>
        <v>4.9499999999999995E-2</v>
      </c>
      <c r="FY16" t="s">
        <v>130</v>
      </c>
      <c r="GA16">
        <v>1000</v>
      </c>
      <c r="GB16" t="s">
        <v>179</v>
      </c>
      <c r="GL16" t="s">
        <v>129</v>
      </c>
      <c r="GM16">
        <f>GM20+(0.693/GM22)</f>
        <v>4.9499999999999995E-2</v>
      </c>
      <c r="GN16" t="s">
        <v>130</v>
      </c>
      <c r="GO16" t="s">
        <v>270</v>
      </c>
      <c r="GP16">
        <v>1</v>
      </c>
      <c r="HA16" t="s">
        <v>129</v>
      </c>
      <c r="HB16">
        <f>HB20+(0.693/HB22)</f>
        <v>4.9499999999999995E-2</v>
      </c>
      <c r="HC16" t="s">
        <v>130</v>
      </c>
    </row>
    <row r="17" spans="1:214" ht="14.25" thickTop="1" thickBot="1" x14ac:dyDescent="0.25">
      <c r="A17" t="s">
        <v>436</v>
      </c>
      <c r="B17" s="410">
        <v>0</v>
      </c>
      <c r="C17" t="s">
        <v>448</v>
      </c>
      <c r="D17" t="s">
        <v>126</v>
      </c>
      <c r="E17">
        <v>1</v>
      </c>
      <c r="F17" t="s">
        <v>59</v>
      </c>
      <c r="G17" t="s">
        <v>97</v>
      </c>
      <c r="H17">
        <f>B50</f>
        <v>0.78</v>
      </c>
      <c r="J17" t="s">
        <v>454</v>
      </c>
      <c r="K17" s="1" t="e">
        <f>K18/(K49+K50)</f>
        <v>#DIV/0!</v>
      </c>
      <c r="L17" t="s">
        <v>22</v>
      </c>
      <c r="V17" t="s">
        <v>477</v>
      </c>
      <c r="W17" s="1">
        <f>(W5)/((W11/W12)*W8*W9*W14*(1/365))</f>
        <v>500.17129153819803</v>
      </c>
      <c r="X17" t="s">
        <v>36</v>
      </c>
      <c r="Y17" t="s">
        <v>477</v>
      </c>
      <c r="Z17" s="1">
        <f>(Z5)/((Z11/Z12)*Z8*Z9*Z14*(1/365))</f>
        <v>450.1541623843782</v>
      </c>
      <c r="AA17" t="s">
        <v>36</v>
      </c>
      <c r="BS17" t="s">
        <v>122</v>
      </c>
      <c r="BT17">
        <v>1</v>
      </c>
      <c r="BU17" t="s">
        <v>59</v>
      </c>
      <c r="BV17" t="s">
        <v>131</v>
      </c>
      <c r="BW17">
        <v>0.5</v>
      </c>
      <c r="BX17" t="s">
        <v>132</v>
      </c>
      <c r="BY17" t="s">
        <v>77</v>
      </c>
      <c r="BZ17" s="427">
        <f>(BZ27*BZ24*BZ20*(BZ29/24)*BZ37)+(BZ26*BZ23*BZ21*(BZ30/24)*BZ38)</f>
        <v>93.75</v>
      </c>
      <c r="CA17" t="s">
        <v>407</v>
      </c>
      <c r="CB17" s="404" t="s">
        <v>32</v>
      </c>
      <c r="CC17" s="78" t="s">
        <v>13</v>
      </c>
      <c r="CD17" s="79" t="s">
        <v>22</v>
      </c>
      <c r="CE17" s="231" t="s">
        <v>32</v>
      </c>
      <c r="CF17" s="78" t="s">
        <v>13</v>
      </c>
      <c r="CG17" s="79" t="s">
        <v>22</v>
      </c>
      <c r="CK17" s="397" t="s">
        <v>303</v>
      </c>
      <c r="CL17" s="78"/>
      <c r="CM17" s="398" t="s">
        <v>22</v>
      </c>
      <c r="CN17" s="78" t="s">
        <v>11</v>
      </c>
      <c r="CO17" s="78"/>
      <c r="CP17" s="79" t="s">
        <v>22</v>
      </c>
      <c r="CQ17" s="231" t="s">
        <v>10</v>
      </c>
      <c r="CR17" s="78"/>
      <c r="CS17" s="79" t="s">
        <v>22</v>
      </c>
      <c r="CT17" t="s">
        <v>454</v>
      </c>
      <c r="CU17" s="1" t="e">
        <f>DJ3</f>
        <v>#DIV/0!</v>
      </c>
      <c r="CV17" t="s">
        <v>22</v>
      </c>
      <c r="CW17" t="s">
        <v>126</v>
      </c>
      <c r="CX17">
        <v>1</v>
      </c>
      <c r="CY17" t="s">
        <v>59</v>
      </c>
      <c r="CZ17" t="s">
        <v>478</v>
      </c>
      <c r="DA17" s="1" t="e">
        <f>DD3</f>
        <v>#DIV/0!</v>
      </c>
      <c r="DB17" t="s">
        <v>22</v>
      </c>
      <c r="DC17" t="s">
        <v>228</v>
      </c>
      <c r="DD17">
        <v>1</v>
      </c>
      <c r="DE17" t="s">
        <v>119</v>
      </c>
      <c r="DF17" t="s">
        <v>133</v>
      </c>
      <c r="DG17">
        <v>60</v>
      </c>
      <c r="DH17" t="s">
        <v>102</v>
      </c>
      <c r="DO17" t="s">
        <v>133</v>
      </c>
      <c r="DP17">
        <v>60</v>
      </c>
      <c r="DQ17" t="s">
        <v>102</v>
      </c>
      <c r="DR17" t="s">
        <v>256</v>
      </c>
      <c r="DS17">
        <v>1</v>
      </c>
      <c r="ED17" t="s">
        <v>133</v>
      </c>
      <c r="EE17">
        <v>60</v>
      </c>
      <c r="EF17" t="s">
        <v>102</v>
      </c>
      <c r="EG17" t="s">
        <v>259</v>
      </c>
      <c r="EH17">
        <v>1</v>
      </c>
      <c r="ES17" t="s">
        <v>133</v>
      </c>
      <c r="ET17">
        <v>60</v>
      </c>
      <c r="EU17" t="s">
        <v>102</v>
      </c>
      <c r="EV17" t="s">
        <v>264</v>
      </c>
      <c r="EW17">
        <v>1</v>
      </c>
      <c r="FH17" t="s">
        <v>133</v>
      </c>
      <c r="FI17">
        <v>60</v>
      </c>
      <c r="FJ17" t="s">
        <v>102</v>
      </c>
      <c r="FK17" t="s">
        <v>265</v>
      </c>
      <c r="FL17">
        <v>1</v>
      </c>
      <c r="FW17" t="s">
        <v>133</v>
      </c>
      <c r="FX17">
        <v>60</v>
      </c>
      <c r="FY17" t="s">
        <v>102</v>
      </c>
      <c r="FZ17" t="s">
        <v>139</v>
      </c>
      <c r="GA17">
        <v>1</v>
      </c>
      <c r="GL17" t="s">
        <v>133</v>
      </c>
      <c r="GM17">
        <v>60</v>
      </c>
      <c r="GN17" t="s">
        <v>102</v>
      </c>
      <c r="GP17">
        <v>365</v>
      </c>
      <c r="GQ17" t="s">
        <v>52</v>
      </c>
      <c r="HA17" t="s">
        <v>133</v>
      </c>
      <c r="HB17">
        <v>60</v>
      </c>
      <c r="HC17" t="s">
        <v>102</v>
      </c>
    </row>
    <row r="18" spans="1:214" ht="13.5" thickTop="1" x14ac:dyDescent="0.2">
      <c r="A18" t="s">
        <v>437</v>
      </c>
      <c r="B18" s="410">
        <v>0</v>
      </c>
      <c r="C18" t="s">
        <v>448</v>
      </c>
      <c r="D18" t="s">
        <v>445</v>
      </c>
      <c r="E18" s="1">
        <f>B26</f>
        <v>9.7300000000000008E-3</v>
      </c>
      <c r="F18" t="s">
        <v>107</v>
      </c>
      <c r="G18" t="s">
        <v>123</v>
      </c>
      <c r="H18">
        <f>B51</f>
        <v>2.5</v>
      </c>
      <c r="J18" t="s">
        <v>455</v>
      </c>
      <c r="K18" s="1" t="e">
        <f>K5/(K9*(K25+K28)*K38)</f>
        <v>#DIV/0!</v>
      </c>
      <c r="L18" t="s">
        <v>22</v>
      </c>
      <c r="M18" s="117" t="s">
        <v>13</v>
      </c>
      <c r="N18" s="118" t="s">
        <v>142</v>
      </c>
      <c r="O18" s="118" t="s">
        <v>0</v>
      </c>
      <c r="P18" s="252" t="s">
        <v>13</v>
      </c>
      <c r="Q18" s="118" t="s">
        <v>183</v>
      </c>
      <c r="R18" s="119" t="s">
        <v>0</v>
      </c>
      <c r="V18" t="s">
        <v>452</v>
      </c>
      <c r="W18" s="1" t="e">
        <f>(W5*W6*W9)/((W11/W12)*(1-EXP(-W6*W9))*W10*W13*W8*W9)</f>
        <v>#DIV/0!</v>
      </c>
      <c r="X18" t="s">
        <v>37</v>
      </c>
      <c r="Y18" t="s">
        <v>452</v>
      </c>
      <c r="Z18" s="1" t="e">
        <f>(Z5*Z6*Z9)/((Z11/Z12)*(1-EXP(-Z6*Z9))*Z10*Z13*Z8*Z9)</f>
        <v>#DIV/0!</v>
      </c>
      <c r="AA18" t="s">
        <v>37</v>
      </c>
      <c r="AI18" s="133" t="s">
        <v>13</v>
      </c>
      <c r="AJ18" s="134" t="s">
        <v>142</v>
      </c>
      <c r="AK18" s="134" t="s">
        <v>0</v>
      </c>
      <c r="AL18" s="233" t="s">
        <v>13</v>
      </c>
      <c r="AM18" s="134" t="s">
        <v>183</v>
      </c>
      <c r="AN18" s="135" t="s">
        <v>0</v>
      </c>
      <c r="AR18" s="141" t="s">
        <v>13</v>
      </c>
      <c r="AS18" s="142" t="s">
        <v>142</v>
      </c>
      <c r="AT18" s="142" t="s">
        <v>0</v>
      </c>
      <c r="AU18" s="236" t="s">
        <v>13</v>
      </c>
      <c r="AV18" s="142" t="s">
        <v>183</v>
      </c>
      <c r="AW18" s="143" t="s">
        <v>0</v>
      </c>
      <c r="BA18" s="141" t="s">
        <v>13</v>
      </c>
      <c r="BB18" s="142" t="s">
        <v>142</v>
      </c>
      <c r="BC18" s="142" t="s">
        <v>0</v>
      </c>
      <c r="BD18" s="236" t="s">
        <v>13</v>
      </c>
      <c r="BE18" s="142" t="s">
        <v>183</v>
      </c>
      <c r="BF18" s="143" t="s">
        <v>0</v>
      </c>
      <c r="BJ18" s="141" t="s">
        <v>13</v>
      </c>
      <c r="BK18" s="142" t="s">
        <v>142</v>
      </c>
      <c r="BL18" s="142" t="s">
        <v>0</v>
      </c>
      <c r="BM18" s="236" t="s">
        <v>13</v>
      </c>
      <c r="BN18" s="142" t="s">
        <v>183</v>
      </c>
      <c r="BO18" s="143" t="s">
        <v>0</v>
      </c>
      <c r="BS18" t="s">
        <v>126</v>
      </c>
      <c r="BT18">
        <v>1</v>
      </c>
      <c r="BU18" t="s">
        <v>59</v>
      </c>
      <c r="BV18" t="s">
        <v>403</v>
      </c>
      <c r="BW18">
        <v>45</v>
      </c>
      <c r="BX18" t="s">
        <v>52</v>
      </c>
      <c r="BY18" t="s">
        <v>108</v>
      </c>
      <c r="BZ18">
        <f>B48</f>
        <v>200</v>
      </c>
      <c r="CA18" t="s">
        <v>90</v>
      </c>
      <c r="CB18" s="404" t="s">
        <v>475</v>
      </c>
      <c r="CC18" s="80">
        <f>(CC20*CC21*CC22)/((1-EXP(-CC22*CC21))*CC25*CC29*(CC24/365)*CC27*(CC28/24)*CC26)</f>
        <v>9816135.5254844893</v>
      </c>
      <c r="CD18" s="79"/>
      <c r="CE18" s="231" t="s">
        <v>475</v>
      </c>
      <c r="CF18" s="80">
        <f>(CF20*CF21*CF22)/((1-EXP(-CF22*CF21))*CF25*CF29*(CF24/365)*CF27*(CF28/24)*CF26)</f>
        <v>1163482.2310418219</v>
      </c>
      <c r="CG18" s="79"/>
      <c r="CK18" s="397" t="s">
        <v>456</v>
      </c>
      <c r="CL18" s="80" t="e">
        <f>CL20/(CL21*CL22*CL23*CL24)</f>
        <v>#DIV/0!</v>
      </c>
      <c r="CM18" s="398"/>
      <c r="CN18" s="78" t="s">
        <v>456</v>
      </c>
      <c r="CO18" s="80" t="e">
        <f>CL18/(CO20*((CO25*CO27*CO28*(CO21+CO22))+(CO26*CO27)))</f>
        <v>#DIV/0!</v>
      </c>
      <c r="CP18" s="79"/>
      <c r="CQ18" s="231" t="s">
        <v>456</v>
      </c>
      <c r="CR18" s="80" t="e">
        <f>CL18/(CR20*CR21*(1/CR22))</f>
        <v>#DIV/0!</v>
      </c>
      <c r="CS18" s="79"/>
      <c r="CT18" t="s">
        <v>455</v>
      </c>
      <c r="CU18" s="1" t="e">
        <f>DD3</f>
        <v>#DIV/0!</v>
      </c>
      <c r="CV18" t="s">
        <v>22</v>
      </c>
      <c r="CW18" t="s">
        <v>445</v>
      </c>
      <c r="CX18" s="1">
        <f>B26</f>
        <v>9.7300000000000008E-3</v>
      </c>
      <c r="CY18" t="s">
        <v>107</v>
      </c>
      <c r="CZ18" t="s">
        <v>479</v>
      </c>
      <c r="DA18" s="1" t="e">
        <f>EZ3</f>
        <v>#DIV/0!</v>
      </c>
      <c r="DC18" t="s">
        <v>229</v>
      </c>
      <c r="DD18">
        <v>1</v>
      </c>
      <c r="DE18" t="s">
        <v>119</v>
      </c>
      <c r="DF18" t="s">
        <v>135</v>
      </c>
      <c r="DG18">
        <v>2</v>
      </c>
      <c r="DH18" t="s">
        <v>111</v>
      </c>
      <c r="DO18" t="s">
        <v>135</v>
      </c>
      <c r="DP18">
        <v>2</v>
      </c>
      <c r="DQ18" t="s">
        <v>111</v>
      </c>
      <c r="DS18">
        <v>365</v>
      </c>
      <c r="DT18" t="s">
        <v>52</v>
      </c>
      <c r="ED18" t="s">
        <v>135</v>
      </c>
      <c r="EE18">
        <v>2</v>
      </c>
      <c r="EF18" t="s">
        <v>111</v>
      </c>
      <c r="EH18">
        <v>365</v>
      </c>
      <c r="EI18" t="s">
        <v>245</v>
      </c>
      <c r="ES18" t="s">
        <v>135</v>
      </c>
      <c r="ET18">
        <v>2</v>
      </c>
      <c r="EU18" t="s">
        <v>111</v>
      </c>
      <c r="EW18">
        <v>365</v>
      </c>
      <c r="EX18" t="s">
        <v>52</v>
      </c>
      <c r="FH18" t="s">
        <v>135</v>
      </c>
      <c r="FI18">
        <v>2</v>
      </c>
      <c r="FJ18" t="s">
        <v>111</v>
      </c>
      <c r="FL18">
        <v>365</v>
      </c>
      <c r="FM18" t="s">
        <v>52</v>
      </c>
      <c r="FW18" t="s">
        <v>135</v>
      </c>
      <c r="FX18">
        <v>2</v>
      </c>
      <c r="FY18" t="s">
        <v>111</v>
      </c>
      <c r="GA18">
        <v>365</v>
      </c>
      <c r="GB18" t="s">
        <v>52</v>
      </c>
      <c r="GL18" t="s">
        <v>135</v>
      </c>
      <c r="GM18">
        <v>2</v>
      </c>
      <c r="GN18" t="s">
        <v>111</v>
      </c>
      <c r="GO18" t="s">
        <v>433</v>
      </c>
      <c r="GP18" s="1">
        <f>B61</f>
        <v>0.15</v>
      </c>
      <c r="HA18" t="s">
        <v>135</v>
      </c>
      <c r="HB18">
        <v>2</v>
      </c>
      <c r="HC18" t="s">
        <v>111</v>
      </c>
    </row>
    <row r="19" spans="1:214" ht="13.5" thickBot="1" x14ac:dyDescent="0.25">
      <c r="A19" t="s">
        <v>438</v>
      </c>
      <c r="B19" s="410">
        <v>0</v>
      </c>
      <c r="C19" t="s">
        <v>448</v>
      </c>
      <c r="D19" t="s">
        <v>464</v>
      </c>
      <c r="E19" s="1">
        <f>B2</f>
        <v>6.8000000000000005E-2</v>
      </c>
      <c r="G19" t="s">
        <v>223</v>
      </c>
      <c r="H19">
        <f>B45</f>
        <v>10</v>
      </c>
      <c r="J19" t="s">
        <v>82</v>
      </c>
      <c r="K19" s="428">
        <f>K21*K31*K35*K53+K22*K32*K34*K54</f>
        <v>43076.923076923078</v>
      </c>
      <c r="L19" t="s">
        <v>406</v>
      </c>
      <c r="M19" s="120" t="s">
        <v>32</v>
      </c>
      <c r="N19" s="121" t="s">
        <v>33</v>
      </c>
      <c r="O19" s="131" t="s">
        <v>146</v>
      </c>
      <c r="P19" s="253" t="s">
        <v>32</v>
      </c>
      <c r="Q19" s="121" t="s">
        <v>33</v>
      </c>
      <c r="R19" s="122" t="s">
        <v>22</v>
      </c>
      <c r="V19" t="s">
        <v>477</v>
      </c>
      <c r="W19" s="1">
        <f>(W5*W6*W9)/((W11/W12)*(1-EXP(-W6*W9))*W14*W8*W9*(1/365))</f>
        <v>33011.305241521062</v>
      </c>
      <c r="X19" t="s">
        <v>37</v>
      </c>
      <c r="Y19" t="s">
        <v>477</v>
      </c>
      <c r="Z19" s="1">
        <f>(Z5*Z6*Z9)/((Z11/Z12)*(1-EXP(-Z6*Z9))*Z14*Z8*Z9*(1/365))</f>
        <v>29710.174717368955</v>
      </c>
      <c r="AA19" t="s">
        <v>37</v>
      </c>
      <c r="AB19" t="s">
        <v>463</v>
      </c>
      <c r="AC19" s="1">
        <f>B2</f>
        <v>6.8000000000000005E-2</v>
      </c>
      <c r="AD19" s="1">
        <f>B2</f>
        <v>6.8000000000000005E-2</v>
      </c>
      <c r="AE19" s="1">
        <f>B2</f>
        <v>6.8000000000000005E-2</v>
      </c>
      <c r="AF19" s="1">
        <f>B2</f>
        <v>6.8000000000000005E-2</v>
      </c>
      <c r="AG19" s="1">
        <f>B2</f>
        <v>6.8000000000000005E-2</v>
      </c>
      <c r="AI19" s="136" t="s">
        <v>5</v>
      </c>
      <c r="AJ19" s="84" t="s">
        <v>34</v>
      </c>
      <c r="AK19" s="151" t="s">
        <v>146</v>
      </c>
      <c r="AL19" s="234" t="s">
        <v>5</v>
      </c>
      <c r="AM19" s="84" t="s">
        <v>34</v>
      </c>
      <c r="AN19" s="137" t="s">
        <v>22</v>
      </c>
      <c r="AR19" s="144" t="s">
        <v>2</v>
      </c>
      <c r="AS19" s="86" t="s">
        <v>34</v>
      </c>
      <c r="AT19" s="152" t="s">
        <v>146</v>
      </c>
      <c r="AU19" s="237" t="s">
        <v>2</v>
      </c>
      <c r="AV19" s="86" t="s">
        <v>34</v>
      </c>
      <c r="AW19" s="145" t="s">
        <v>22</v>
      </c>
      <c r="BA19" s="144" t="s">
        <v>4</v>
      </c>
      <c r="BB19" s="86" t="s">
        <v>34</v>
      </c>
      <c r="BC19" s="152" t="s">
        <v>146</v>
      </c>
      <c r="BD19" s="237" t="s">
        <v>4</v>
      </c>
      <c r="BE19" s="86" t="s">
        <v>34</v>
      </c>
      <c r="BF19" s="145" t="s">
        <v>22</v>
      </c>
      <c r="BJ19" s="144" t="s">
        <v>222</v>
      </c>
      <c r="BK19" s="86" t="s">
        <v>34</v>
      </c>
      <c r="BL19" s="152" t="s">
        <v>146</v>
      </c>
      <c r="BM19" s="237" t="s">
        <v>222</v>
      </c>
      <c r="BN19" s="86" t="s">
        <v>34</v>
      </c>
      <c r="BO19" s="145" t="s">
        <v>22</v>
      </c>
      <c r="BS19" t="s">
        <v>445</v>
      </c>
      <c r="BT19" s="1">
        <f>B26</f>
        <v>9.7300000000000008E-3</v>
      </c>
      <c r="BU19" t="s">
        <v>107</v>
      </c>
      <c r="BV19" t="s">
        <v>404</v>
      </c>
      <c r="BW19">
        <v>45</v>
      </c>
      <c r="BX19" t="s">
        <v>52</v>
      </c>
      <c r="BY19" t="s">
        <v>127</v>
      </c>
      <c r="BZ19">
        <f>B49</f>
        <v>100</v>
      </c>
      <c r="CA19" t="s">
        <v>90</v>
      </c>
      <c r="CB19" s="405"/>
      <c r="CC19" s="81"/>
      <c r="CD19" s="82"/>
      <c r="CE19" s="232"/>
      <c r="CF19" s="81"/>
      <c r="CG19" s="82"/>
      <c r="CK19" s="399"/>
      <c r="CL19" s="400"/>
      <c r="CM19" s="401"/>
      <c r="CN19" s="393"/>
      <c r="CO19" s="81"/>
      <c r="CP19" s="82"/>
      <c r="CQ19" s="232"/>
      <c r="CR19" s="81"/>
      <c r="CS19" s="82"/>
      <c r="CT19" t="s">
        <v>479</v>
      </c>
      <c r="CU19" s="1" t="e">
        <f>FC3</f>
        <v>#DIV/0!</v>
      </c>
      <c r="CV19" t="s">
        <v>22</v>
      </c>
      <c r="CW19" t="s">
        <v>464</v>
      </c>
      <c r="CX19" s="1">
        <f>B2</f>
        <v>6.8000000000000005E-2</v>
      </c>
      <c r="CZ19" t="s">
        <v>480</v>
      </c>
      <c r="DA19" s="1" t="e">
        <f>GS3</f>
        <v>#DIV/0!</v>
      </c>
      <c r="DD19" s="1">
        <v>9.9999999999999995E-7</v>
      </c>
      <c r="DF19" t="s">
        <v>137</v>
      </c>
      <c r="DG19">
        <v>2.6999999999999999E-5</v>
      </c>
      <c r="DH19" t="s">
        <v>130</v>
      </c>
      <c r="DO19" t="s">
        <v>137</v>
      </c>
      <c r="DP19">
        <v>2.6999999999999999E-5</v>
      </c>
      <c r="DQ19" t="s">
        <v>130</v>
      </c>
      <c r="DR19" t="s">
        <v>433</v>
      </c>
      <c r="DS19" s="1">
        <f>B61</f>
        <v>0.15</v>
      </c>
      <c r="ED19" t="s">
        <v>137</v>
      </c>
      <c r="EE19">
        <v>2.6999999999999999E-5</v>
      </c>
      <c r="EF19" t="s">
        <v>130</v>
      </c>
      <c r="EG19" t="s">
        <v>433</v>
      </c>
      <c r="EH19" s="1">
        <f>B61</f>
        <v>0.15</v>
      </c>
      <c r="ES19" t="s">
        <v>137</v>
      </c>
      <c r="ET19">
        <v>2.6999999999999999E-5</v>
      </c>
      <c r="EU19" t="s">
        <v>130</v>
      </c>
      <c r="EV19" t="s">
        <v>433</v>
      </c>
      <c r="EW19" s="1">
        <f>B61</f>
        <v>0.15</v>
      </c>
      <c r="FH19" t="s">
        <v>137</v>
      </c>
      <c r="FI19">
        <v>2.6999999999999999E-5</v>
      </c>
      <c r="FJ19" t="s">
        <v>130</v>
      </c>
      <c r="FK19" t="s">
        <v>433</v>
      </c>
      <c r="FL19" s="1">
        <f>B61</f>
        <v>0.15</v>
      </c>
      <c r="FW19" t="s">
        <v>137</v>
      </c>
      <c r="FX19">
        <v>2.6999999999999999E-5</v>
      </c>
      <c r="FY19" t="s">
        <v>130</v>
      </c>
      <c r="FZ19" t="s">
        <v>433</v>
      </c>
      <c r="GA19" s="1">
        <f>B61</f>
        <v>0.15</v>
      </c>
      <c r="GL19" t="s">
        <v>137</v>
      </c>
      <c r="GM19">
        <v>2.6999999999999999E-5</v>
      </c>
      <c r="GN19" t="s">
        <v>130</v>
      </c>
      <c r="GO19" t="s">
        <v>432</v>
      </c>
      <c r="GP19" s="1">
        <f>B62</f>
        <v>0.85</v>
      </c>
      <c r="HA19" t="s">
        <v>137</v>
      </c>
      <c r="HB19">
        <v>2.6999999999999999E-5</v>
      </c>
      <c r="HC19" t="s">
        <v>130</v>
      </c>
    </row>
    <row r="20" spans="1:214" ht="14.25" thickTop="1" thickBot="1" x14ac:dyDescent="0.25">
      <c r="A20" t="s">
        <v>490</v>
      </c>
      <c r="B20" s="410">
        <v>0</v>
      </c>
      <c r="C20" t="s">
        <v>448</v>
      </c>
      <c r="D20" t="s">
        <v>452</v>
      </c>
      <c r="E20" s="1" t="e">
        <f>(E5)/((E14/E15)*E10*E11)</f>
        <v>#DIV/0!</v>
      </c>
      <c r="F20" t="s">
        <v>36</v>
      </c>
      <c r="G20" t="s">
        <v>224</v>
      </c>
      <c r="H20">
        <f>B46</f>
        <v>20</v>
      </c>
      <c r="J20" t="s">
        <v>77</v>
      </c>
      <c r="K20" s="428">
        <f>K35*K31*K23*K53+K34*K32*K24*K54</f>
        <v>6192.3076923076924</v>
      </c>
      <c r="L20" t="s">
        <v>134</v>
      </c>
      <c r="M20" s="120" t="s">
        <v>475</v>
      </c>
      <c r="N20" s="123">
        <f>(N22*N23*N24)/((1-EXP(-N24*N23))*N27*N32*(N26/365)*N30*((N31*N29)+(N33*N28)))</f>
        <v>7174.9875358289937</v>
      </c>
      <c r="O20" s="131"/>
      <c r="P20" s="253" t="s">
        <v>475</v>
      </c>
      <c r="Q20" s="123">
        <f>(Q22*Q23*Q24)/((1-EXP(-Q24*Q23))*Q27*Q32*(Q26/365)*Q30*((Q31*Q29)+(Q33*Q28)))</f>
        <v>1605.3208454514563</v>
      </c>
      <c r="R20" s="122"/>
      <c r="AB20" t="s">
        <v>412</v>
      </c>
      <c r="AC20">
        <f>B47</f>
        <v>60</v>
      </c>
      <c r="AD20">
        <f>B47</f>
        <v>60</v>
      </c>
      <c r="AE20">
        <f>B47</f>
        <v>60</v>
      </c>
      <c r="AF20">
        <f>B47</f>
        <v>60</v>
      </c>
      <c r="AG20">
        <f>B47</f>
        <v>60</v>
      </c>
      <c r="AH20" t="s">
        <v>78</v>
      </c>
      <c r="AI20" s="136" t="s">
        <v>475</v>
      </c>
      <c r="AJ20" s="85">
        <f>(AJ22*AJ23*AJ24)/((1-EXP(-AJ24*AJ23))*AJ27*AJ32*(AJ26/365)*AJ30*((AJ31*AJ29)+(AJ33*AJ28)))</f>
        <v>19909.529686604659</v>
      </c>
      <c r="AK20" s="151"/>
      <c r="AL20" s="234" t="s">
        <v>475</v>
      </c>
      <c r="AM20" s="85">
        <f>(AM22*AM23*AM24)/((1-EXP(-AM24*AM23))*AM27*AM32*(AM26/365)*AM30*((AM31*AM29)+(AM33*AM28)))</f>
        <v>4478.4276982108595</v>
      </c>
      <c r="AN20" s="137"/>
      <c r="AR20" s="144" t="s">
        <v>475</v>
      </c>
      <c r="AS20" s="87">
        <f>(AS22*AS23*AS24)/((1-EXP(-AS24*AS23))*AS27*AS32*(AS26/365)*AS30*((AS31*AS29)+(AS33*AS28)))</f>
        <v>393274.66047614132</v>
      </c>
      <c r="AT20" s="152"/>
      <c r="AU20" s="237" t="s">
        <v>475</v>
      </c>
      <c r="AV20" s="87">
        <f>(AV22*AV23*AV24)/((1-EXP(-AV24*AV23))*AV27*AV32*(AV26/365)*AV30*((AV31*AV29)+(AV33*AV28)))</f>
        <v>46613.871435970424</v>
      </c>
      <c r="AW20" s="145"/>
      <c r="BA20" s="144" t="s">
        <v>475</v>
      </c>
      <c r="BB20" s="87">
        <f>(BB22*BB23*BB24)/((1-EXP(-BB24*BB23))*BB27*BB32*(BB26/365)*BB30*((BB31*BB29)+(BB33*BB28)))</f>
        <v>353947.19442852726</v>
      </c>
      <c r="BC20" s="152"/>
      <c r="BD20" s="237" t="s">
        <v>475</v>
      </c>
      <c r="BE20" s="87">
        <f>(BE22*BE23*BE24)/((1-EXP(-BE24*BE23))*BE27*BE32*(BE26/365)*BE30*((BE31*BE29)+(BE33*BE28)))</f>
        <v>41952.484292373389</v>
      </c>
      <c r="BF20" s="145"/>
      <c r="BJ20" s="144" t="s">
        <v>475</v>
      </c>
      <c r="BK20" s="87">
        <f>(BK22*BK23*BK24)/((1-EXP(-BK24*BK23))*BK29*BK34*(BK26/365)*BK32*BK33*BK31)</f>
        <v>14157.887777141093</v>
      </c>
      <c r="BL20" s="152"/>
      <c r="BM20" s="237" t="s">
        <v>475</v>
      </c>
      <c r="BN20" s="87">
        <f>(BN22*BN23*BN24)/((1-EXP(-BN24*BN23))*BN29*BN34*(BN26/365)*BN32*BN33*BN31)</f>
        <v>1678.0993716949356</v>
      </c>
      <c r="BO20" s="145"/>
      <c r="BS20" t="s">
        <v>464</v>
      </c>
      <c r="BT20" s="1">
        <f>B2</f>
        <v>6.8000000000000005E-2</v>
      </c>
      <c r="BV20" t="s">
        <v>100</v>
      </c>
      <c r="BW20">
        <v>1</v>
      </c>
      <c r="BX20" t="s">
        <v>119</v>
      </c>
      <c r="BY20" t="s">
        <v>223</v>
      </c>
      <c r="BZ20">
        <f>B45</f>
        <v>10</v>
      </c>
      <c r="CA20" t="s">
        <v>78</v>
      </c>
      <c r="CB20" t="s">
        <v>458</v>
      </c>
      <c r="CC20" s="1">
        <v>1</v>
      </c>
      <c r="CD20" t="s">
        <v>459</v>
      </c>
      <c r="CE20" t="s">
        <v>458</v>
      </c>
      <c r="CF20" s="1">
        <v>1</v>
      </c>
      <c r="CG20" t="s">
        <v>459</v>
      </c>
      <c r="CK20" t="s">
        <v>485</v>
      </c>
      <c r="CL20" s="1">
        <v>1</v>
      </c>
      <c r="CM20" s="2"/>
      <c r="CN20" t="s">
        <v>396</v>
      </c>
      <c r="CO20" s="1">
        <f>B39</f>
        <v>0</v>
      </c>
      <c r="CQ20" t="s">
        <v>396</v>
      </c>
      <c r="CR20">
        <f>CO20</f>
        <v>0</v>
      </c>
      <c r="CT20" t="s">
        <v>480</v>
      </c>
      <c r="CU20" s="1" t="e">
        <f>GV3</f>
        <v>#DIV/0!</v>
      </c>
      <c r="CV20" t="s">
        <v>22</v>
      </c>
      <c r="CW20" t="s">
        <v>452</v>
      </c>
      <c r="CX20" s="1" t="e">
        <f>(CX5)/((CX14/CX15)*CX10*CX11)</f>
        <v>#DIV/0!</v>
      </c>
      <c r="CY20" t="s">
        <v>36</v>
      </c>
      <c r="CZ20" t="s">
        <v>481</v>
      </c>
      <c r="DA20" s="1" t="e">
        <f>EK3</f>
        <v>#DIV/0!</v>
      </c>
      <c r="DD20" s="1">
        <v>1000</v>
      </c>
      <c r="DE20" t="s">
        <v>179</v>
      </c>
      <c r="DF20" t="s">
        <v>138</v>
      </c>
      <c r="DG20" s="1">
        <f>0.693/DG23</f>
        <v>0.18141361256544503</v>
      </c>
      <c r="DH20" t="s">
        <v>130</v>
      </c>
      <c r="DO20" t="s">
        <v>138</v>
      </c>
      <c r="DP20">
        <v>0</v>
      </c>
      <c r="DQ20" t="s">
        <v>130</v>
      </c>
      <c r="DR20" t="s">
        <v>432</v>
      </c>
      <c r="DS20" s="1">
        <f>B62</f>
        <v>0.85</v>
      </c>
      <c r="ED20" t="s">
        <v>138</v>
      </c>
      <c r="EE20">
        <v>0</v>
      </c>
      <c r="EF20" t="s">
        <v>130</v>
      </c>
      <c r="EG20" t="s">
        <v>432</v>
      </c>
      <c r="EH20" s="1">
        <f>B62</f>
        <v>0.85</v>
      </c>
      <c r="ES20" t="s">
        <v>138</v>
      </c>
      <c r="ET20">
        <v>0</v>
      </c>
      <c r="EU20" t="s">
        <v>130</v>
      </c>
      <c r="EV20" t="s">
        <v>432</v>
      </c>
      <c r="EW20" s="1">
        <f>B62</f>
        <v>0.85</v>
      </c>
      <c r="FH20" t="s">
        <v>138</v>
      </c>
      <c r="FI20">
        <v>0</v>
      </c>
      <c r="FJ20" t="s">
        <v>130</v>
      </c>
      <c r="FK20" t="s">
        <v>432</v>
      </c>
      <c r="FL20" s="1">
        <f>B62</f>
        <v>0.85</v>
      </c>
      <c r="FW20" t="s">
        <v>138</v>
      </c>
      <c r="FX20">
        <v>0</v>
      </c>
      <c r="FY20" t="s">
        <v>130</v>
      </c>
      <c r="FZ20" t="s">
        <v>432</v>
      </c>
      <c r="GA20" s="1">
        <f>B62</f>
        <v>0.85</v>
      </c>
      <c r="GL20" t="s">
        <v>138</v>
      </c>
      <c r="GM20">
        <v>0</v>
      </c>
      <c r="GN20" t="s">
        <v>130</v>
      </c>
      <c r="HA20" t="s">
        <v>138</v>
      </c>
      <c r="HB20">
        <v>0</v>
      </c>
      <c r="HC20" t="s">
        <v>130</v>
      </c>
    </row>
    <row r="21" spans="1:214" ht="14.25" thickTop="1" thickBot="1" x14ac:dyDescent="0.25">
      <c r="A21" t="s">
        <v>460</v>
      </c>
      <c r="B21" s="410">
        <v>10.6</v>
      </c>
      <c r="C21" t="s">
        <v>449</v>
      </c>
      <c r="D21" t="s">
        <v>477</v>
      </c>
      <c r="E21" s="1">
        <f>(E5)/((E14/E15)*E8*E9*E18*(1/365)*E19)</f>
        <v>1576.1700363598673</v>
      </c>
      <c r="F21" t="s">
        <v>36</v>
      </c>
      <c r="G21" t="s">
        <v>240</v>
      </c>
      <c r="H21" s="426">
        <f>(H29*H32*H38*H34*H70)+(H30*H33*H39*H35*H71)</f>
        <v>234.76923076923077</v>
      </c>
      <c r="I21" t="s">
        <v>408</v>
      </c>
      <c r="J21" t="s">
        <v>108</v>
      </c>
      <c r="K21">
        <f>B48</f>
        <v>200</v>
      </c>
      <c r="L21" t="s">
        <v>90</v>
      </c>
      <c r="M21" s="124"/>
      <c r="N21" s="125"/>
      <c r="O21" s="169"/>
      <c r="P21" s="254"/>
      <c r="Q21" s="125"/>
      <c r="R21" s="126"/>
      <c r="AB21" t="s">
        <v>462</v>
      </c>
      <c r="AC21">
        <v>0.4</v>
      </c>
      <c r="AD21">
        <v>0.4</v>
      </c>
      <c r="AE21">
        <v>0.4</v>
      </c>
      <c r="AF21">
        <v>0.4</v>
      </c>
      <c r="AG21">
        <v>0.4</v>
      </c>
      <c r="AI21" s="138" t="s">
        <v>32</v>
      </c>
      <c r="AJ21" s="139"/>
      <c r="AK21" s="153"/>
      <c r="AL21" s="235" t="s">
        <v>32</v>
      </c>
      <c r="AM21" s="139"/>
      <c r="AN21" s="140"/>
      <c r="AR21" s="146" t="s">
        <v>32</v>
      </c>
      <c r="AS21" s="147"/>
      <c r="AT21" s="154"/>
      <c r="AU21" s="238" t="s">
        <v>32</v>
      </c>
      <c r="AV21" s="147"/>
      <c r="AW21" s="148"/>
      <c r="BA21" s="146" t="s">
        <v>32</v>
      </c>
      <c r="BB21" s="147"/>
      <c r="BC21" s="154"/>
      <c r="BD21" s="238" t="s">
        <v>32</v>
      </c>
      <c r="BE21" s="147"/>
      <c r="BF21" s="148"/>
      <c r="BJ21" s="146" t="s">
        <v>32</v>
      </c>
      <c r="BK21" s="147"/>
      <c r="BL21" s="154"/>
      <c r="BM21" s="238" t="s">
        <v>32</v>
      </c>
      <c r="BN21" s="147"/>
      <c r="BO21" s="148"/>
      <c r="BS21" t="s">
        <v>452</v>
      </c>
      <c r="BT21" s="1" t="e">
        <f>(BT5)/(BT10*BT11)</f>
        <v>#DIV/0!</v>
      </c>
      <c r="BU21" t="s">
        <v>36</v>
      </c>
      <c r="BV21" t="s">
        <v>402</v>
      </c>
      <c r="BW21">
        <v>1</v>
      </c>
      <c r="BY21" t="s">
        <v>224</v>
      </c>
      <c r="BZ21">
        <f>B46</f>
        <v>20</v>
      </c>
      <c r="CA21" t="s">
        <v>78</v>
      </c>
      <c r="CB21" t="s">
        <v>58</v>
      </c>
      <c r="CC21">
        <v>26</v>
      </c>
      <c r="CD21" t="s">
        <v>59</v>
      </c>
      <c r="CE21" t="s">
        <v>58</v>
      </c>
      <c r="CF21">
        <v>26</v>
      </c>
      <c r="CG21" t="s">
        <v>59</v>
      </c>
      <c r="CK21" t="s">
        <v>447</v>
      </c>
      <c r="CL21" s="1">
        <f>E35</f>
        <v>0</v>
      </c>
      <c r="CM21" t="s">
        <v>22</v>
      </c>
      <c r="CN21" t="s">
        <v>47</v>
      </c>
      <c r="CO21">
        <f>CO23</f>
        <v>5.0000000000000001E-3</v>
      </c>
      <c r="CQ21" t="s">
        <v>316</v>
      </c>
      <c r="CR21" s="17">
        <v>1</v>
      </c>
      <c r="CS21" t="s">
        <v>56</v>
      </c>
      <c r="CT21" t="s">
        <v>481</v>
      </c>
      <c r="CU21" s="1" t="e">
        <f>EN3</f>
        <v>#DIV/0!</v>
      </c>
      <c r="CV21" t="s">
        <v>22</v>
      </c>
      <c r="CW21" t="s">
        <v>477</v>
      </c>
      <c r="CX21" s="1">
        <f>(CX5)/((CX14/CX15)*CX8*CX9*CX18*(1/365)*CX19)</f>
        <v>1576.1700363598673</v>
      </c>
      <c r="CY21" t="s">
        <v>36</v>
      </c>
      <c r="CZ21" t="s">
        <v>482</v>
      </c>
      <c r="DA21" s="1" t="e">
        <f>DV3</f>
        <v>#DIV/0!</v>
      </c>
      <c r="DC21" t="s">
        <v>139</v>
      </c>
      <c r="DD21">
        <v>1</v>
      </c>
      <c r="DF21" t="s">
        <v>140</v>
      </c>
      <c r="DG21">
        <v>1</v>
      </c>
      <c r="DH21" t="s">
        <v>75</v>
      </c>
      <c r="DO21" t="s">
        <v>140</v>
      </c>
      <c r="DP21">
        <v>1</v>
      </c>
      <c r="DQ21" t="s">
        <v>75</v>
      </c>
      <c r="ED21" t="s">
        <v>140</v>
      </c>
      <c r="EE21">
        <v>1</v>
      </c>
      <c r="EF21" t="s">
        <v>75</v>
      </c>
      <c r="ES21" t="s">
        <v>140</v>
      </c>
      <c r="ET21">
        <v>1</v>
      </c>
      <c r="EU21" t="s">
        <v>75</v>
      </c>
      <c r="FH21" t="s">
        <v>140</v>
      </c>
      <c r="FI21">
        <v>1</v>
      </c>
      <c r="FJ21" t="s">
        <v>75</v>
      </c>
      <c r="FW21" t="s">
        <v>140</v>
      </c>
      <c r="FX21">
        <v>1</v>
      </c>
      <c r="FY21" t="s">
        <v>75</v>
      </c>
      <c r="GL21" t="s">
        <v>140</v>
      </c>
      <c r="GM21">
        <v>1</v>
      </c>
      <c r="GN21" t="s">
        <v>75</v>
      </c>
      <c r="HA21" t="s">
        <v>140</v>
      </c>
      <c r="HB21">
        <v>1</v>
      </c>
      <c r="HC21" t="s">
        <v>75</v>
      </c>
      <c r="HD21" s="157" t="s">
        <v>456</v>
      </c>
      <c r="HE21" s="158" t="s">
        <v>423</v>
      </c>
      <c r="HF21" s="159" t="s">
        <v>143</v>
      </c>
    </row>
    <row r="22" spans="1:214" ht="13.5" thickTop="1" x14ac:dyDescent="0.2">
      <c r="A22" t="s">
        <v>441</v>
      </c>
      <c r="B22" s="410">
        <v>1.96</v>
      </c>
      <c r="C22" t="s">
        <v>450</v>
      </c>
      <c r="D22" t="s">
        <v>452</v>
      </c>
      <c r="E22" s="1" t="e">
        <f>(E5*E9*E6)/((E14/E15)*(1-EXP(-E6*E9))*E10*E11)</f>
        <v>#DIV/0!</v>
      </c>
      <c r="F22" t="s">
        <v>37</v>
      </c>
      <c r="G22" t="s">
        <v>373</v>
      </c>
      <c r="H22" s="427">
        <f>(H29*H32*H23*H70)+(H30*H33*H24*H71)</f>
        <v>16326.153846153848</v>
      </c>
      <c r="I22" t="s">
        <v>213</v>
      </c>
      <c r="J22" t="s">
        <v>127</v>
      </c>
      <c r="K22">
        <f>B49</f>
        <v>100</v>
      </c>
      <c r="L22" t="s">
        <v>90</v>
      </c>
      <c r="M22" t="s">
        <v>485</v>
      </c>
      <c r="N22" s="1">
        <v>1</v>
      </c>
      <c r="P22" t="s">
        <v>485</v>
      </c>
      <c r="Q22" s="1">
        <v>1</v>
      </c>
      <c r="V22" s="88" t="s">
        <v>1</v>
      </c>
      <c r="W22" s="89" t="s">
        <v>5</v>
      </c>
      <c r="X22" s="89" t="s">
        <v>0</v>
      </c>
      <c r="Y22" s="248" t="s">
        <v>1</v>
      </c>
      <c r="Z22" s="89" t="s">
        <v>222</v>
      </c>
      <c r="AA22" s="90" t="s">
        <v>0</v>
      </c>
      <c r="AB22" t="s">
        <v>105</v>
      </c>
      <c r="AC22" s="1">
        <f>B3</f>
        <v>0.75600000000000001</v>
      </c>
      <c r="AD22" s="1">
        <f>B3</f>
        <v>0.75600000000000001</v>
      </c>
      <c r="AE22" s="1">
        <f>B3</f>
        <v>0.75600000000000001</v>
      </c>
      <c r="AF22" s="1">
        <f>B3</f>
        <v>0.75600000000000001</v>
      </c>
      <c r="AG22" s="1">
        <f>B3</f>
        <v>0.75600000000000001</v>
      </c>
      <c r="AI22" t="s">
        <v>458</v>
      </c>
      <c r="AJ22" s="1">
        <v>1</v>
      </c>
      <c r="AK22" t="s">
        <v>459</v>
      </c>
      <c r="AL22" t="s">
        <v>458</v>
      </c>
      <c r="AM22" s="1">
        <v>1</v>
      </c>
      <c r="AN22" t="s">
        <v>459</v>
      </c>
      <c r="AR22" t="s">
        <v>458</v>
      </c>
      <c r="AS22" s="1">
        <v>1</v>
      </c>
      <c r="AT22" t="s">
        <v>459</v>
      </c>
      <c r="AU22" t="s">
        <v>458</v>
      </c>
      <c r="AV22" s="1">
        <v>1</v>
      </c>
      <c r="AW22" t="s">
        <v>459</v>
      </c>
      <c r="BA22" t="s">
        <v>458</v>
      </c>
      <c r="BB22" s="1">
        <v>1</v>
      </c>
      <c r="BC22" t="s">
        <v>459</v>
      </c>
      <c r="BD22" t="s">
        <v>458</v>
      </c>
      <c r="BE22" s="1">
        <v>1</v>
      </c>
      <c r="BF22" t="s">
        <v>459</v>
      </c>
      <c r="BJ22" t="s">
        <v>458</v>
      </c>
      <c r="BK22" s="1">
        <v>1</v>
      </c>
      <c r="BL22" t="s">
        <v>459</v>
      </c>
      <c r="BM22" t="s">
        <v>458</v>
      </c>
      <c r="BN22" s="1">
        <v>1</v>
      </c>
      <c r="BO22" t="s">
        <v>459</v>
      </c>
      <c r="BS22" t="s">
        <v>477</v>
      </c>
      <c r="BT22" s="1">
        <f>(BT5)/((BT14/24)*BT8*BT9*BT19*(1/365)*BT20)</f>
        <v>176531.04407230514</v>
      </c>
      <c r="BU22" t="s">
        <v>36</v>
      </c>
      <c r="BV22" t="s">
        <v>401</v>
      </c>
      <c r="BW22">
        <v>1</v>
      </c>
      <c r="BY22" t="s">
        <v>221</v>
      </c>
      <c r="BZ22">
        <v>75</v>
      </c>
      <c r="CA22" t="s">
        <v>52</v>
      </c>
      <c r="CB22" t="s">
        <v>49</v>
      </c>
      <c r="CC22" s="1">
        <f>0.693/CC23</f>
        <v>65.999999999999986</v>
      </c>
      <c r="CE22" t="s">
        <v>49</v>
      </c>
      <c r="CF22" s="1">
        <f>0.693/CF23</f>
        <v>65.999999999999986</v>
      </c>
      <c r="CK22" t="s">
        <v>221</v>
      </c>
      <c r="CL22">
        <v>75</v>
      </c>
      <c r="CM22" t="s">
        <v>245</v>
      </c>
      <c r="CN22" t="s">
        <v>54</v>
      </c>
      <c r="CO22">
        <f>CO24</f>
        <v>0.25</v>
      </c>
      <c r="CR22">
        <v>1000</v>
      </c>
      <c r="CS22" t="s">
        <v>213</v>
      </c>
      <c r="CT22" t="s">
        <v>482</v>
      </c>
      <c r="CU22" s="1" t="e">
        <f>DY3</f>
        <v>#DIV/0!</v>
      </c>
      <c r="CV22" t="s">
        <v>22</v>
      </c>
      <c r="CW22" t="s">
        <v>452</v>
      </c>
      <c r="CX22" s="1" t="e">
        <f>(CX5*CX9*CX6)/((CX14/CX15)*(1-EXP(-CX6*CX9))*CX10*CX11)</f>
        <v>#DIV/0!</v>
      </c>
      <c r="CY22" t="s">
        <v>37</v>
      </c>
      <c r="CZ22" t="s">
        <v>483</v>
      </c>
      <c r="DA22" s="1" t="e">
        <f>GD3</f>
        <v>#DIV/0!</v>
      </c>
      <c r="DC22" t="s">
        <v>433</v>
      </c>
      <c r="DD22" s="1">
        <f>B61</f>
        <v>0.15</v>
      </c>
      <c r="DF22" t="s">
        <v>144</v>
      </c>
      <c r="DG22">
        <v>14</v>
      </c>
      <c r="DH22" t="s">
        <v>145</v>
      </c>
      <c r="DO22" t="s">
        <v>144</v>
      </c>
      <c r="DP22">
        <v>14</v>
      </c>
      <c r="DQ22" t="s">
        <v>145</v>
      </c>
      <c r="ED22" t="s">
        <v>144</v>
      </c>
      <c r="EE22">
        <v>14</v>
      </c>
      <c r="EF22" t="s">
        <v>145</v>
      </c>
      <c r="ES22" t="s">
        <v>144</v>
      </c>
      <c r="ET22">
        <v>14</v>
      </c>
      <c r="EU22" t="s">
        <v>145</v>
      </c>
      <c r="FH22" t="s">
        <v>144</v>
      </c>
      <c r="FI22">
        <v>14</v>
      </c>
      <c r="FJ22" t="s">
        <v>145</v>
      </c>
      <c r="FW22" t="s">
        <v>144</v>
      </c>
      <c r="FX22">
        <v>14</v>
      </c>
      <c r="FY22" t="s">
        <v>145</v>
      </c>
      <c r="GL22" t="s">
        <v>144</v>
      </c>
      <c r="GM22">
        <v>14</v>
      </c>
      <c r="GN22" t="s">
        <v>145</v>
      </c>
      <c r="HA22" t="s">
        <v>144</v>
      </c>
      <c r="HB22">
        <v>14</v>
      </c>
      <c r="HC22" t="s">
        <v>145</v>
      </c>
      <c r="HD22" s="160" t="s">
        <v>22</v>
      </c>
      <c r="HE22" s="161" t="s">
        <v>33</v>
      </c>
      <c r="HF22" s="162" t="s">
        <v>35</v>
      </c>
    </row>
    <row r="23" spans="1:214" x14ac:dyDescent="0.2">
      <c r="A23" t="s">
        <v>442</v>
      </c>
      <c r="B23" s="410">
        <v>1.94</v>
      </c>
      <c r="C23" t="s">
        <v>449</v>
      </c>
      <c r="D23" t="s">
        <v>477</v>
      </c>
      <c r="E23" s="1">
        <f>(E5*E9*E6)/((E14/E15)*E8*E9*(1-EXP(-E6*E9))*E18*(1/365)*E19)</f>
        <v>1576.2196862376813</v>
      </c>
      <c r="F23" t="s">
        <v>37</v>
      </c>
      <c r="G23" t="s">
        <v>374</v>
      </c>
      <c r="H23" s="1">
        <f>B52</f>
        <v>14.8</v>
      </c>
      <c r="I23" t="s">
        <v>380</v>
      </c>
      <c r="J23" t="s">
        <v>223</v>
      </c>
      <c r="K23">
        <f>B45</f>
        <v>10</v>
      </c>
      <c r="L23" t="s">
        <v>78</v>
      </c>
      <c r="M23" t="s">
        <v>58</v>
      </c>
      <c r="N23">
        <v>26</v>
      </c>
      <c r="O23" t="s">
        <v>59</v>
      </c>
      <c r="P23" t="s">
        <v>58</v>
      </c>
      <c r="Q23">
        <v>26</v>
      </c>
      <c r="R23" t="s">
        <v>59</v>
      </c>
      <c r="V23" s="91" t="s">
        <v>18</v>
      </c>
      <c r="W23" s="92" t="s">
        <v>456</v>
      </c>
      <c r="X23" s="92" t="s">
        <v>19</v>
      </c>
      <c r="Y23" s="249" t="s">
        <v>18</v>
      </c>
      <c r="Z23" s="92" t="s">
        <v>456</v>
      </c>
      <c r="AA23" s="93" t="s">
        <v>19</v>
      </c>
      <c r="AB23" t="s">
        <v>460</v>
      </c>
      <c r="AC23" s="1">
        <f>B21</f>
        <v>10.6</v>
      </c>
      <c r="AD23" s="1">
        <f>B21</f>
        <v>10.6</v>
      </c>
      <c r="AE23" s="1">
        <f>B21</f>
        <v>10.6</v>
      </c>
      <c r="AF23" s="1">
        <f>B21</f>
        <v>10.6</v>
      </c>
      <c r="AG23" s="1">
        <f>B21</f>
        <v>10.6</v>
      </c>
      <c r="AH23" t="s">
        <v>147</v>
      </c>
      <c r="AI23" t="s">
        <v>58</v>
      </c>
      <c r="AJ23">
        <v>25</v>
      </c>
      <c r="AK23" t="s">
        <v>59</v>
      </c>
      <c r="AL23" t="s">
        <v>58</v>
      </c>
      <c r="AM23">
        <v>25</v>
      </c>
      <c r="AN23" t="s">
        <v>59</v>
      </c>
      <c r="AR23" t="s">
        <v>58</v>
      </c>
      <c r="AS23">
        <v>25</v>
      </c>
      <c r="AT23" t="s">
        <v>59</v>
      </c>
      <c r="AU23" t="s">
        <v>58</v>
      </c>
      <c r="AV23">
        <v>25</v>
      </c>
      <c r="AW23" t="s">
        <v>59</v>
      </c>
      <c r="BA23" t="s">
        <v>58</v>
      </c>
      <c r="BB23">
        <v>25</v>
      </c>
      <c r="BC23" t="s">
        <v>59</v>
      </c>
      <c r="BD23" t="s">
        <v>58</v>
      </c>
      <c r="BE23">
        <v>25</v>
      </c>
      <c r="BF23" t="s">
        <v>59</v>
      </c>
      <c r="BJ23" t="s">
        <v>58</v>
      </c>
      <c r="BK23">
        <v>1</v>
      </c>
      <c r="BL23" t="s">
        <v>59</v>
      </c>
      <c r="BM23" t="s">
        <v>58</v>
      </c>
      <c r="BN23">
        <v>1</v>
      </c>
      <c r="BO23" t="s">
        <v>59</v>
      </c>
      <c r="BS23" t="s">
        <v>452</v>
      </c>
      <c r="BT23" s="1" t="e">
        <f>(BT5*BT28*BT6)/((1-EXP(-BT6*BT9))*BT10*BT11)</f>
        <v>#DIV/0!</v>
      </c>
      <c r="BU23" t="s">
        <v>37</v>
      </c>
      <c r="BV23" t="s">
        <v>399</v>
      </c>
      <c r="BW23">
        <v>1</v>
      </c>
      <c r="BX23" t="s">
        <v>164</v>
      </c>
      <c r="BY23" t="s">
        <v>73</v>
      </c>
      <c r="BZ23">
        <v>75</v>
      </c>
      <c r="CA23" t="s">
        <v>52</v>
      </c>
      <c r="CB23" t="s">
        <v>411</v>
      </c>
      <c r="CC23" s="1">
        <f>B29</f>
        <v>1.0500000000000001E-2</v>
      </c>
      <c r="CD23" t="s">
        <v>119</v>
      </c>
      <c r="CE23" t="s">
        <v>411</v>
      </c>
      <c r="CF23" s="1">
        <f>B29</f>
        <v>1.0500000000000001E-2</v>
      </c>
      <c r="CG23" t="s">
        <v>119</v>
      </c>
      <c r="CK23" t="s">
        <v>99</v>
      </c>
      <c r="CL23">
        <v>1</v>
      </c>
      <c r="CM23" t="s">
        <v>253</v>
      </c>
      <c r="CN23" t="s">
        <v>64</v>
      </c>
      <c r="CO23">
        <v>5.0000000000000001E-3</v>
      </c>
      <c r="CT23" t="s">
        <v>483</v>
      </c>
      <c r="CU23" s="1" t="e">
        <f>GG3</f>
        <v>#DIV/0!</v>
      </c>
      <c r="CV23" t="s">
        <v>22</v>
      </c>
      <c r="CW23" t="s">
        <v>477</v>
      </c>
      <c r="CX23" s="1">
        <f>(CX5*CX9*CX6)/((CX14/CX15)*CX8*CX9*(1-EXP(-CX6*CX9))*CX18*(1/365)*CX19)</f>
        <v>104027.2223997512</v>
      </c>
      <c r="CY23" t="s">
        <v>37</v>
      </c>
      <c r="CZ23" t="s">
        <v>484</v>
      </c>
      <c r="DA23" s="1" t="e">
        <f>FO3</f>
        <v>#DIV/0!</v>
      </c>
      <c r="DC23" t="s">
        <v>432</v>
      </c>
      <c r="DD23" s="1">
        <f>B62</f>
        <v>0.85</v>
      </c>
      <c r="DF23" t="s">
        <v>485</v>
      </c>
      <c r="DG23" s="1">
        <f>B33</f>
        <v>3.82</v>
      </c>
      <c r="DH23" t="s">
        <v>381</v>
      </c>
      <c r="DO23" t="s">
        <v>46</v>
      </c>
      <c r="DP23">
        <f>DP25</f>
        <v>0</v>
      </c>
      <c r="ED23" t="s">
        <v>46</v>
      </c>
      <c r="EE23">
        <f>EE25</f>
        <v>0</v>
      </c>
      <c r="ES23" t="s">
        <v>46</v>
      </c>
      <c r="ET23">
        <f>ET25</f>
        <v>0</v>
      </c>
      <c r="FH23" t="s">
        <v>46</v>
      </c>
      <c r="FI23">
        <v>0.2</v>
      </c>
      <c r="FW23" t="s">
        <v>46</v>
      </c>
      <c r="FX23">
        <f>FX25</f>
        <v>0.2</v>
      </c>
      <c r="GL23" t="s">
        <v>46</v>
      </c>
      <c r="GM23">
        <f>GM25</f>
        <v>5.0000000000000001E-3</v>
      </c>
      <c r="HA23" t="s">
        <v>46</v>
      </c>
      <c r="HB23">
        <f>HB25</f>
        <v>5.0000000000000001E-3</v>
      </c>
      <c r="HD23" s="302">
        <f>(HE25*HE33*HE38*HE32*10^-3*HE31*HE27)/(HE30*HE41*(1-EXP(-HE27*HE31)))</f>
        <v>720.43359129304577</v>
      </c>
      <c r="HE23" s="303"/>
      <c r="HF23" s="162" t="s">
        <v>38</v>
      </c>
    </row>
    <row r="24" spans="1:214" ht="13.5" thickBot="1" x14ac:dyDescent="0.25">
      <c r="A24" t="s">
        <v>443</v>
      </c>
      <c r="B24" s="410">
        <v>5.58</v>
      </c>
      <c r="C24" t="s">
        <v>449</v>
      </c>
      <c r="D24" t="s">
        <v>225</v>
      </c>
      <c r="E24">
        <v>350</v>
      </c>
      <c r="F24" t="s">
        <v>52</v>
      </c>
      <c r="G24" t="s">
        <v>375</v>
      </c>
      <c r="H24" s="1">
        <f>B53</f>
        <v>56.2</v>
      </c>
      <c r="I24" t="s">
        <v>380</v>
      </c>
      <c r="J24" t="s">
        <v>224</v>
      </c>
      <c r="K24">
        <f>B46</f>
        <v>20</v>
      </c>
      <c r="L24" t="s">
        <v>78</v>
      </c>
      <c r="M24" t="s">
        <v>49</v>
      </c>
      <c r="N24" s="1">
        <f>0.693/N25</f>
        <v>65.999999999999986</v>
      </c>
      <c r="P24" t="s">
        <v>49</v>
      </c>
      <c r="Q24" s="1">
        <f>0.693/Q25</f>
        <v>65.999999999999986</v>
      </c>
      <c r="V24" s="91" t="s">
        <v>37</v>
      </c>
      <c r="W24" s="94" t="e">
        <f>1/((1/W39)+(1/W40))</f>
        <v>#DIV/0!</v>
      </c>
      <c r="X24" s="127"/>
      <c r="Y24" s="250" t="s">
        <v>37</v>
      </c>
      <c r="Z24" s="94" t="e">
        <f>1/((1/Z37)+(1/Z38))</f>
        <v>#DIV/0!</v>
      </c>
      <c r="AA24" s="95"/>
      <c r="AB24" t="s">
        <v>436</v>
      </c>
      <c r="AC24" s="1">
        <f>B17</f>
        <v>0</v>
      </c>
      <c r="AD24" s="1">
        <f>B17</f>
        <v>0</v>
      </c>
      <c r="AE24" s="1">
        <f>B17</f>
        <v>0</v>
      </c>
      <c r="AF24" s="1">
        <f>B17</f>
        <v>0</v>
      </c>
      <c r="AG24" s="1">
        <f>B17</f>
        <v>0</v>
      </c>
      <c r="AH24" t="s">
        <v>61</v>
      </c>
      <c r="AI24" t="s">
        <v>49</v>
      </c>
      <c r="AJ24" s="1">
        <f>0.693/AJ25</f>
        <v>65.999999999999986</v>
      </c>
      <c r="AL24" t="s">
        <v>49</v>
      </c>
      <c r="AM24" s="1">
        <f>0.693/AM25</f>
        <v>65.999999999999986</v>
      </c>
      <c r="AR24" t="s">
        <v>49</v>
      </c>
      <c r="AS24" s="1">
        <f>0.693/AS25</f>
        <v>65.999999999999986</v>
      </c>
      <c r="AU24" t="s">
        <v>49</v>
      </c>
      <c r="AV24" s="1">
        <f>0.693/AV25</f>
        <v>65.999999999999986</v>
      </c>
      <c r="BA24" t="s">
        <v>49</v>
      </c>
      <c r="BB24" s="1">
        <f>0.693/BB25</f>
        <v>65.999999999999986</v>
      </c>
      <c r="BD24" t="s">
        <v>49</v>
      </c>
      <c r="BE24" s="1">
        <f>0.693/BE25</f>
        <v>65.999999999999986</v>
      </c>
      <c r="BJ24" t="s">
        <v>49</v>
      </c>
      <c r="BK24" s="1">
        <f>0.693/BK25</f>
        <v>65.999999999999986</v>
      </c>
      <c r="BM24" t="s">
        <v>49</v>
      </c>
      <c r="BN24" s="1">
        <f>0.693/BN25</f>
        <v>65.999999999999986</v>
      </c>
      <c r="BS24" t="s">
        <v>477</v>
      </c>
      <c r="BT24" s="1">
        <f>(BT5*BT9*BT6)/((BT14/24)*BT8*BT9*(1-EXP(-BT6*BT9))*BT19*(1/365)*BT20)</f>
        <v>11651048.908772137</v>
      </c>
      <c r="BU24" t="s">
        <v>37</v>
      </c>
      <c r="BV24" t="s">
        <v>398</v>
      </c>
      <c r="BW24">
        <v>1</v>
      </c>
      <c r="BX24" t="s">
        <v>164</v>
      </c>
      <c r="BY24" t="s">
        <v>67</v>
      </c>
      <c r="BZ24">
        <v>75</v>
      </c>
      <c r="CA24" t="s">
        <v>52</v>
      </c>
      <c r="CB24" t="s">
        <v>51</v>
      </c>
      <c r="CC24">
        <v>75</v>
      </c>
      <c r="CD24" t="s">
        <v>60</v>
      </c>
      <c r="CE24" t="s">
        <v>51</v>
      </c>
      <c r="CF24">
        <v>75</v>
      </c>
      <c r="CG24" t="s">
        <v>60</v>
      </c>
      <c r="CK24" t="s">
        <v>304</v>
      </c>
      <c r="CL24" s="17">
        <v>1</v>
      </c>
      <c r="CM24" t="s">
        <v>380</v>
      </c>
      <c r="CN24" t="s">
        <v>311</v>
      </c>
      <c r="CO24" s="17">
        <v>0.25</v>
      </c>
      <c r="CT24" t="s">
        <v>484</v>
      </c>
      <c r="CU24" s="1" t="e">
        <f>FR3</f>
        <v>#DIV/0!</v>
      </c>
      <c r="CV24" t="s">
        <v>22</v>
      </c>
      <c r="CW24" t="s">
        <v>225</v>
      </c>
      <c r="CX24">
        <v>350</v>
      </c>
      <c r="CY24" t="s">
        <v>52</v>
      </c>
      <c r="CZ24" t="s">
        <v>81</v>
      </c>
      <c r="DA24" s="427">
        <f>(DA35*DA37*DA27*DA51)+(DA36*DA38*DA28*DA52)</f>
        <v>784.7</v>
      </c>
      <c r="DB24" t="s">
        <v>180</v>
      </c>
      <c r="DG24">
        <v>1000</v>
      </c>
      <c r="DO24" t="s">
        <v>54</v>
      </c>
      <c r="DP24">
        <f>DP26</f>
        <v>0.26</v>
      </c>
      <c r="ED24" t="s">
        <v>54</v>
      </c>
      <c r="EE24">
        <f>EE26</f>
        <v>0.25</v>
      </c>
      <c r="ES24" t="s">
        <v>54</v>
      </c>
      <c r="ET24">
        <f>ET26</f>
        <v>0.25</v>
      </c>
      <c r="FH24" t="s">
        <v>54</v>
      </c>
      <c r="FI24">
        <v>0.25</v>
      </c>
      <c r="FW24" t="s">
        <v>54</v>
      </c>
      <c r="FX24">
        <f>FX26</f>
        <v>0.25</v>
      </c>
      <c r="GL24" t="s">
        <v>54</v>
      </c>
      <c r="GM24">
        <f>GM26</f>
        <v>0.25</v>
      </c>
      <c r="HA24" t="s">
        <v>54</v>
      </c>
      <c r="HB24">
        <f>HB26</f>
        <v>0.25</v>
      </c>
      <c r="HD24" s="304" t="e">
        <f>(HE26*HE33*HE38*HE32*10^-3*HE31*HE27)/(HE30*HE41*(1-EXP(-HE27*HE31)))</f>
        <v>#DIV/0!</v>
      </c>
      <c r="HE24" s="305"/>
      <c r="HF24" s="306" t="s">
        <v>43</v>
      </c>
    </row>
    <row r="25" spans="1:214" ht="14.25" thickTop="1" thickBot="1" x14ac:dyDescent="0.25">
      <c r="A25" t="s">
        <v>444</v>
      </c>
      <c r="B25" s="410">
        <v>8.91</v>
      </c>
      <c r="C25" t="s">
        <v>449</v>
      </c>
      <c r="D25" t="s">
        <v>226</v>
      </c>
      <c r="E25">
        <v>350</v>
      </c>
      <c r="F25" t="s">
        <v>52</v>
      </c>
      <c r="G25" t="s">
        <v>372</v>
      </c>
      <c r="H25" s="427">
        <f>(H29*H32*H26*H70)+(H30*H33*H27*H71)</f>
        <v>8513.0769230769238</v>
      </c>
      <c r="I25" t="s">
        <v>213</v>
      </c>
      <c r="J25" t="s">
        <v>373</v>
      </c>
      <c r="K25" s="427">
        <f>(K31*K35*K26*K53)+(K32*K34*K27*K54)</f>
        <v>16326.153846153848</v>
      </c>
      <c r="L25" t="s">
        <v>213</v>
      </c>
      <c r="M25" t="s">
        <v>411</v>
      </c>
      <c r="N25" s="1">
        <f>B29</f>
        <v>1.0500000000000001E-2</v>
      </c>
      <c r="O25" t="s">
        <v>119</v>
      </c>
      <c r="P25" t="s">
        <v>411</v>
      </c>
      <c r="Q25" s="1">
        <f>B29</f>
        <v>1.0500000000000001E-2</v>
      </c>
      <c r="R25" t="s">
        <v>119</v>
      </c>
      <c r="V25" s="130" t="s">
        <v>36</v>
      </c>
      <c r="W25" s="96" t="e">
        <f>1/((1/W37)+(1/W38))</f>
        <v>#DIV/0!</v>
      </c>
      <c r="X25" s="128"/>
      <c r="Y25" s="251" t="s">
        <v>36</v>
      </c>
      <c r="Z25" s="129" t="e">
        <f>1/((1/Z39)+(1/Z40))</f>
        <v>#DIV/0!</v>
      </c>
      <c r="AA25" s="97"/>
      <c r="AC25" s="1"/>
      <c r="AD25" s="1"/>
      <c r="AE25" s="1"/>
      <c r="AI25" t="s">
        <v>411</v>
      </c>
      <c r="AJ25" s="1">
        <f>B29</f>
        <v>1.0500000000000001E-2</v>
      </c>
      <c r="AK25" t="s">
        <v>119</v>
      </c>
      <c r="AL25" t="s">
        <v>411</v>
      </c>
      <c r="AM25" s="1">
        <f>B29</f>
        <v>1.0500000000000001E-2</v>
      </c>
      <c r="AN25" t="s">
        <v>119</v>
      </c>
      <c r="AR25" t="s">
        <v>411</v>
      </c>
      <c r="AS25" s="1">
        <f>B29</f>
        <v>1.0500000000000001E-2</v>
      </c>
      <c r="AT25" t="s">
        <v>119</v>
      </c>
      <c r="AU25" t="s">
        <v>411</v>
      </c>
      <c r="AV25" s="1">
        <f>B29</f>
        <v>1.0500000000000001E-2</v>
      </c>
      <c r="AW25" t="s">
        <v>119</v>
      </c>
      <c r="BA25" t="s">
        <v>411</v>
      </c>
      <c r="BB25" s="1">
        <f>B29</f>
        <v>1.0500000000000001E-2</v>
      </c>
      <c r="BC25" t="s">
        <v>119</v>
      </c>
      <c r="BD25" t="s">
        <v>411</v>
      </c>
      <c r="BE25" s="1">
        <f>B29</f>
        <v>1.0500000000000001E-2</v>
      </c>
      <c r="BF25" t="s">
        <v>119</v>
      </c>
      <c r="BJ25" t="s">
        <v>411</v>
      </c>
      <c r="BK25" s="1">
        <f>B29</f>
        <v>1.0500000000000001E-2</v>
      </c>
      <c r="BL25" t="s">
        <v>119</v>
      </c>
      <c r="BM25" t="s">
        <v>411</v>
      </c>
      <c r="BN25" s="1">
        <f>B29</f>
        <v>1.0500000000000001E-2</v>
      </c>
      <c r="BO25" t="s">
        <v>119</v>
      </c>
      <c r="BS25" t="s">
        <v>225</v>
      </c>
      <c r="BT25">
        <v>75</v>
      </c>
      <c r="BU25" t="s">
        <v>52</v>
      </c>
      <c r="BV25" t="s">
        <v>400</v>
      </c>
      <c r="BW25">
        <v>1</v>
      </c>
      <c r="BX25" t="s">
        <v>80</v>
      </c>
      <c r="BY25" t="s">
        <v>99</v>
      </c>
      <c r="BZ25">
        <v>1</v>
      </c>
      <c r="CA25" t="s">
        <v>119</v>
      </c>
      <c r="CB25" t="s">
        <v>65</v>
      </c>
      <c r="CC25">
        <v>1</v>
      </c>
      <c r="CD25" t="s">
        <v>59</v>
      </c>
      <c r="CE25" t="s">
        <v>65</v>
      </c>
      <c r="CF25">
        <v>1</v>
      </c>
      <c r="CG25" t="s">
        <v>59</v>
      </c>
      <c r="CN25" t="s">
        <v>309</v>
      </c>
      <c r="CO25" s="17">
        <v>1</v>
      </c>
      <c r="CP25" t="s">
        <v>431</v>
      </c>
      <c r="CT25" t="s">
        <v>82</v>
      </c>
      <c r="CU25" s="428">
        <f>(CU27*CU31*CU35*CU49)+(CU28*CU32*CU34*CU50)</f>
        <v>40250</v>
      </c>
      <c r="CV25" t="s">
        <v>406</v>
      </c>
      <c r="CW25" t="s">
        <v>226</v>
      </c>
      <c r="CX25">
        <v>350</v>
      </c>
      <c r="CY25" t="s">
        <v>52</v>
      </c>
      <c r="CZ25" t="s">
        <v>77</v>
      </c>
      <c r="DA25" s="427">
        <f>(DA35*DA37*DA29*(DA40/24)*DA51)+(DA36*DA38*DA30*(DA41/24)*DA52)</f>
        <v>6475</v>
      </c>
      <c r="DB25" t="s">
        <v>407</v>
      </c>
      <c r="DO25" t="s">
        <v>63</v>
      </c>
      <c r="DP25">
        <f>B40</f>
        <v>0</v>
      </c>
      <c r="ED25" t="s">
        <v>64</v>
      </c>
      <c r="EE25">
        <f>B41</f>
        <v>0</v>
      </c>
      <c r="ES25" t="s">
        <v>64</v>
      </c>
      <c r="ET25">
        <f>B41</f>
        <v>0</v>
      </c>
      <c r="FH25" t="s">
        <v>64</v>
      </c>
      <c r="FI25">
        <v>5.0000000000000001E-3</v>
      </c>
      <c r="FW25" t="s">
        <v>64</v>
      </c>
      <c r="FX25">
        <v>0.2</v>
      </c>
      <c r="GL25" t="s">
        <v>64</v>
      </c>
      <c r="GM25">
        <v>5.0000000000000001E-3</v>
      </c>
      <c r="HA25" t="s">
        <v>64</v>
      </c>
      <c r="HB25">
        <v>5.0000000000000001E-3</v>
      </c>
      <c r="HD25" s="2" t="s">
        <v>48</v>
      </c>
      <c r="HE25" s="1">
        <v>15</v>
      </c>
      <c r="HF25" t="s">
        <v>24</v>
      </c>
    </row>
    <row r="26" spans="1:214" ht="13.5" thickTop="1" x14ac:dyDescent="0.2">
      <c r="A26" t="s">
        <v>445</v>
      </c>
      <c r="B26" s="410">
        <v>9.7300000000000008E-3</v>
      </c>
      <c r="C26" t="s">
        <v>449</v>
      </c>
      <c r="D26" t="s">
        <v>435</v>
      </c>
      <c r="E26" s="1">
        <f>B59</f>
        <v>0.23076923076923078</v>
      </c>
      <c r="G26" t="s">
        <v>370</v>
      </c>
      <c r="H26" s="1">
        <f>B54</f>
        <v>10.4</v>
      </c>
      <c r="I26" t="s">
        <v>380</v>
      </c>
      <c r="J26" t="s">
        <v>374</v>
      </c>
      <c r="K26" s="1">
        <f>B52</f>
        <v>14.8</v>
      </c>
      <c r="L26" t="s">
        <v>380</v>
      </c>
      <c r="M26" t="s">
        <v>51</v>
      </c>
      <c r="N26">
        <v>350</v>
      </c>
      <c r="O26" t="s">
        <v>60</v>
      </c>
      <c r="P26" t="s">
        <v>51</v>
      </c>
      <c r="Q26">
        <v>350</v>
      </c>
      <c r="R26" t="s">
        <v>60</v>
      </c>
      <c r="V26" t="s">
        <v>458</v>
      </c>
      <c r="W26" s="1">
        <v>1</v>
      </c>
      <c r="X26" t="s">
        <v>459</v>
      </c>
      <c r="Y26" t="s">
        <v>458</v>
      </c>
      <c r="Z26" s="1">
        <v>1</v>
      </c>
      <c r="AA26" t="s">
        <v>459</v>
      </c>
      <c r="AC26" s="1"/>
      <c r="AD26" s="1"/>
      <c r="AE26" s="1"/>
      <c r="AI26" t="s">
        <v>51</v>
      </c>
      <c r="AJ26">
        <v>250</v>
      </c>
      <c r="AK26" t="s">
        <v>60</v>
      </c>
      <c r="AL26" t="s">
        <v>51</v>
      </c>
      <c r="AM26">
        <v>250</v>
      </c>
      <c r="AN26" t="s">
        <v>60</v>
      </c>
      <c r="AR26" t="s">
        <v>51</v>
      </c>
      <c r="AS26">
        <v>225</v>
      </c>
      <c r="AT26" t="s">
        <v>60</v>
      </c>
      <c r="AU26" t="s">
        <v>51</v>
      </c>
      <c r="AV26">
        <v>225</v>
      </c>
      <c r="AW26" t="s">
        <v>60</v>
      </c>
      <c r="BA26" t="s">
        <v>51</v>
      </c>
      <c r="BB26">
        <v>250</v>
      </c>
      <c r="BC26" t="s">
        <v>60</v>
      </c>
      <c r="BD26" t="s">
        <v>51</v>
      </c>
      <c r="BE26">
        <v>250</v>
      </c>
      <c r="BF26" t="s">
        <v>60</v>
      </c>
      <c r="BJ26" t="s">
        <v>51</v>
      </c>
      <c r="BK26">
        <f>BK27*BK28</f>
        <v>250</v>
      </c>
      <c r="BL26" t="s">
        <v>60</v>
      </c>
      <c r="BM26" t="s">
        <v>51</v>
      </c>
      <c r="BN26">
        <f>BN27*BN28</f>
        <v>250</v>
      </c>
      <c r="BO26" t="s">
        <v>60</v>
      </c>
      <c r="BS26" t="s">
        <v>226</v>
      </c>
      <c r="BT26">
        <v>75</v>
      </c>
      <c r="BU26" t="s">
        <v>52</v>
      </c>
      <c r="BV26" t="s">
        <v>151</v>
      </c>
      <c r="BW26">
        <v>1</v>
      </c>
      <c r="BX26" t="s">
        <v>152</v>
      </c>
      <c r="BY26" t="s">
        <v>98</v>
      </c>
      <c r="BZ26">
        <v>1</v>
      </c>
      <c r="CA26" t="s">
        <v>119</v>
      </c>
      <c r="CB26" t="s">
        <v>463</v>
      </c>
      <c r="CC26" s="1">
        <f>B11</f>
        <v>2.2499999999999999E-2</v>
      </c>
      <c r="CE26" t="s">
        <v>463</v>
      </c>
      <c r="CF26" s="1">
        <f>B7</f>
        <v>4.2700000000000002E-2</v>
      </c>
      <c r="CN26" t="s">
        <v>312</v>
      </c>
      <c r="CO26" s="17">
        <v>1</v>
      </c>
      <c r="CP26" t="s">
        <v>431</v>
      </c>
      <c r="CT26" t="s">
        <v>77</v>
      </c>
      <c r="CU26" s="428">
        <f>((CU35*CU31*CU29*CU49)+(CU34*CU32*CU30*CU50))</f>
        <v>6475</v>
      </c>
      <c r="CV26" t="s">
        <v>407</v>
      </c>
      <c r="CW26" t="s">
        <v>433</v>
      </c>
      <c r="CX26" s="1">
        <f>B61</f>
        <v>0.15</v>
      </c>
      <c r="CZ26" t="s">
        <v>240</v>
      </c>
      <c r="DA26" s="427">
        <f>(DA35*DA37*DA42*DA44*DA51)+(DA36*DA38*DA43*DA45*DA52)</f>
        <v>239.57499999999999</v>
      </c>
      <c r="DB26" t="s">
        <v>408</v>
      </c>
      <c r="DF26" t="s">
        <v>64</v>
      </c>
      <c r="DG26">
        <f>B41</f>
        <v>0</v>
      </c>
      <c r="DO26" t="s">
        <v>70</v>
      </c>
      <c r="DP26">
        <v>0.26</v>
      </c>
      <c r="ED26" t="s">
        <v>70</v>
      </c>
      <c r="EE26">
        <v>0.25</v>
      </c>
      <c r="EJ26" t="s">
        <v>64</v>
      </c>
      <c r="EK26">
        <v>0.04</v>
      </c>
      <c r="ES26" t="s">
        <v>70</v>
      </c>
      <c r="ET26">
        <v>0.25</v>
      </c>
      <c r="FH26" t="s">
        <v>290</v>
      </c>
      <c r="FI26">
        <v>0.25</v>
      </c>
      <c r="FW26" t="s">
        <v>285</v>
      </c>
      <c r="FX26">
        <v>0.25</v>
      </c>
      <c r="GL26" t="s">
        <v>279</v>
      </c>
      <c r="GM26">
        <v>0.25</v>
      </c>
      <c r="HA26" t="s">
        <v>284</v>
      </c>
      <c r="HB26">
        <v>0.25</v>
      </c>
      <c r="HD26" t="s">
        <v>456</v>
      </c>
      <c r="HE26" s="1" t="e">
        <f>H3</f>
        <v>#DIV/0!</v>
      </c>
      <c r="HF26" t="s">
        <v>24</v>
      </c>
    </row>
    <row r="27" spans="1:214" ht="12.75" customHeight="1" x14ac:dyDescent="0.2">
      <c r="A27" t="s">
        <v>446</v>
      </c>
      <c r="B27" s="410">
        <v>2.1100000000000001E-5</v>
      </c>
      <c r="C27" t="s">
        <v>448</v>
      </c>
      <c r="D27" t="s">
        <v>434</v>
      </c>
      <c r="E27" s="1">
        <f>B60</f>
        <v>0.76923076923076927</v>
      </c>
      <c r="G27" t="s">
        <v>371</v>
      </c>
      <c r="H27" s="1">
        <f>B55</f>
        <v>28.5</v>
      </c>
      <c r="I27" t="s">
        <v>380</v>
      </c>
      <c r="J27" t="s">
        <v>375</v>
      </c>
      <c r="K27" s="1">
        <f>B53</f>
        <v>56.2</v>
      </c>
      <c r="L27" t="s">
        <v>380</v>
      </c>
      <c r="M27" t="s">
        <v>65</v>
      </c>
      <c r="N27">
        <v>1</v>
      </c>
      <c r="O27" t="s">
        <v>59</v>
      </c>
      <c r="P27" t="s">
        <v>65</v>
      </c>
      <c r="Q27">
        <v>1</v>
      </c>
      <c r="R27" t="s">
        <v>59</v>
      </c>
      <c r="V27" t="s">
        <v>49</v>
      </c>
      <c r="W27" s="1">
        <f>0.693/W28</f>
        <v>65.999999999999986</v>
      </c>
      <c r="Y27" t="s">
        <v>49</v>
      </c>
      <c r="Z27" s="1">
        <f>0.693/Z28</f>
        <v>65.999999999999986</v>
      </c>
      <c r="AB27" t="s">
        <v>65</v>
      </c>
      <c r="AC27">
        <v>25</v>
      </c>
      <c r="AD27">
        <v>25</v>
      </c>
      <c r="AE27">
        <v>25</v>
      </c>
      <c r="AF27">
        <v>1</v>
      </c>
      <c r="AG27">
        <v>1</v>
      </c>
      <c r="AH27" t="s">
        <v>119</v>
      </c>
      <c r="AI27" t="s">
        <v>65</v>
      </c>
      <c r="AJ27">
        <v>1</v>
      </c>
      <c r="AK27" t="s">
        <v>59</v>
      </c>
      <c r="AL27" t="s">
        <v>65</v>
      </c>
      <c r="AM27">
        <v>1</v>
      </c>
      <c r="AN27" t="s">
        <v>59</v>
      </c>
      <c r="AR27" t="s">
        <v>65</v>
      </c>
      <c r="AS27">
        <v>1</v>
      </c>
      <c r="AT27" t="s">
        <v>59</v>
      </c>
      <c r="AU27" t="s">
        <v>65</v>
      </c>
      <c r="AV27">
        <v>1</v>
      </c>
      <c r="AW27" t="s">
        <v>59</v>
      </c>
      <c r="BA27" t="s">
        <v>65</v>
      </c>
      <c r="BB27">
        <v>1</v>
      </c>
      <c r="BC27" t="s">
        <v>59</v>
      </c>
      <c r="BD27" t="s">
        <v>65</v>
      </c>
      <c r="BE27">
        <v>1</v>
      </c>
      <c r="BF27" t="s">
        <v>59</v>
      </c>
      <c r="BJ27" t="s">
        <v>378</v>
      </c>
      <c r="BK27">
        <v>50</v>
      </c>
      <c r="BL27" t="s">
        <v>389</v>
      </c>
      <c r="BM27" t="s">
        <v>378</v>
      </c>
      <c r="BN27">
        <v>50</v>
      </c>
      <c r="BO27" t="s">
        <v>389</v>
      </c>
      <c r="BS27" t="s">
        <v>221</v>
      </c>
      <c r="BT27">
        <v>75</v>
      </c>
      <c r="BU27" t="s">
        <v>52</v>
      </c>
      <c r="BV27" t="s">
        <v>153</v>
      </c>
      <c r="BW27">
        <v>1</v>
      </c>
      <c r="BX27" t="s">
        <v>152</v>
      </c>
      <c r="BY27" t="s">
        <v>83</v>
      </c>
      <c r="BZ27">
        <v>1</v>
      </c>
      <c r="CA27" t="s">
        <v>119</v>
      </c>
      <c r="CB27" t="s">
        <v>105</v>
      </c>
      <c r="CC27" s="1">
        <f>B12</f>
        <v>0.46300000000000002</v>
      </c>
      <c r="CE27" t="s">
        <v>105</v>
      </c>
      <c r="CF27" s="1">
        <f>B8</f>
        <v>0.72299999999999998</v>
      </c>
      <c r="CN27" t="s">
        <v>313</v>
      </c>
      <c r="CO27" s="17">
        <v>1</v>
      </c>
      <c r="CP27" t="s">
        <v>75</v>
      </c>
      <c r="CT27" t="s">
        <v>108</v>
      </c>
      <c r="CU27">
        <f>B48</f>
        <v>200</v>
      </c>
      <c r="CV27" t="s">
        <v>90</v>
      </c>
      <c r="CW27" t="s">
        <v>432</v>
      </c>
      <c r="CX27" s="1">
        <f>B62</f>
        <v>0.85</v>
      </c>
      <c r="CZ27" t="s">
        <v>97</v>
      </c>
      <c r="DA27">
        <f>B50</f>
        <v>0.78</v>
      </c>
      <c r="DB27" t="s">
        <v>56</v>
      </c>
      <c r="EB27" s="1"/>
      <c r="ED27" t="s">
        <v>317</v>
      </c>
      <c r="EE27" s="1">
        <f>B35</f>
        <v>0</v>
      </c>
      <c r="EQ27" s="1"/>
      <c r="ES27" t="s">
        <v>318</v>
      </c>
      <c r="ET27" s="1">
        <f>B36</f>
        <v>0</v>
      </c>
      <c r="FH27" t="s">
        <v>319</v>
      </c>
      <c r="FI27" s="406">
        <f>B38</f>
        <v>0</v>
      </c>
      <c r="FW27" t="s">
        <v>320</v>
      </c>
      <c r="FX27" s="17">
        <v>1</v>
      </c>
      <c r="GL27" t="s">
        <v>321</v>
      </c>
      <c r="GM27" s="406">
        <f>B37</f>
        <v>0</v>
      </c>
      <c r="HA27" t="s">
        <v>322</v>
      </c>
      <c r="HB27" s="406">
        <f>B39</f>
        <v>0</v>
      </c>
      <c r="HD27" t="s">
        <v>49</v>
      </c>
      <c r="HE27" s="1">
        <f>0.693/HE28</f>
        <v>65.999999999999986</v>
      </c>
    </row>
    <row r="28" spans="1:214" ht="15" thickBot="1" x14ac:dyDescent="0.25">
      <c r="A28" t="s">
        <v>447</v>
      </c>
      <c r="B28" s="410">
        <v>0</v>
      </c>
      <c r="C28" t="s">
        <v>448</v>
      </c>
      <c r="G28" t="s">
        <v>131</v>
      </c>
      <c r="H28">
        <v>0.5</v>
      </c>
      <c r="I28" t="s">
        <v>132</v>
      </c>
      <c r="J28" t="s">
        <v>372</v>
      </c>
      <c r="K28" s="427">
        <f>(K31*K35*K29*K53)+(K32*K34*K30*K54)</f>
        <v>8513.0769230769238</v>
      </c>
      <c r="L28" t="s">
        <v>213</v>
      </c>
      <c r="M28" t="s">
        <v>462</v>
      </c>
      <c r="N28">
        <v>0.4</v>
      </c>
      <c r="P28" t="s">
        <v>462</v>
      </c>
      <c r="Q28">
        <v>0.4</v>
      </c>
      <c r="V28" t="s">
        <v>411</v>
      </c>
      <c r="W28" s="1">
        <f>B29</f>
        <v>1.0500000000000001E-2</v>
      </c>
      <c r="X28" t="s">
        <v>119</v>
      </c>
      <c r="Y28" t="s">
        <v>411</v>
      </c>
      <c r="Z28" s="1">
        <f>B29</f>
        <v>1.0500000000000001E-2</v>
      </c>
      <c r="AA28" t="s">
        <v>119</v>
      </c>
      <c r="AB28" t="s">
        <v>155</v>
      </c>
      <c r="AC28" s="1">
        <f t="shared" ref="AC28:AF29" si="0">8/24</f>
        <v>0.33333333333333331</v>
      </c>
      <c r="AD28" s="1">
        <f t="shared" si="0"/>
        <v>0.33333333333333331</v>
      </c>
      <c r="AE28" s="1">
        <f t="shared" si="0"/>
        <v>0.33333333333333331</v>
      </c>
      <c r="AF28" s="1">
        <f t="shared" si="0"/>
        <v>0.33333333333333331</v>
      </c>
      <c r="AG28" s="1">
        <f>8/24</f>
        <v>0.33333333333333331</v>
      </c>
      <c r="AI28" t="s">
        <v>462</v>
      </c>
      <c r="AJ28">
        <v>0.4</v>
      </c>
      <c r="AL28" t="s">
        <v>462</v>
      </c>
      <c r="AM28">
        <v>0.4</v>
      </c>
      <c r="AR28" t="s">
        <v>462</v>
      </c>
      <c r="AS28">
        <v>0.4</v>
      </c>
      <c r="BA28" t="s">
        <v>462</v>
      </c>
      <c r="BB28">
        <v>0.4</v>
      </c>
      <c r="BJ28" t="s">
        <v>377</v>
      </c>
      <c r="BK28">
        <v>5</v>
      </c>
      <c r="BL28" t="s">
        <v>390</v>
      </c>
      <c r="BM28" t="s">
        <v>377</v>
      </c>
      <c r="BN28">
        <v>5</v>
      </c>
      <c r="BO28" t="s">
        <v>390</v>
      </c>
      <c r="BS28" t="s">
        <v>174</v>
      </c>
      <c r="BT28">
        <v>26</v>
      </c>
      <c r="BU28" t="s">
        <v>119</v>
      </c>
      <c r="BW28">
        <f>1/1000</f>
        <v>1E-3</v>
      </c>
      <c r="BX28" t="s">
        <v>154</v>
      </c>
      <c r="BY28" t="s">
        <v>166</v>
      </c>
      <c r="BZ28">
        <v>1</v>
      </c>
      <c r="CA28" t="s">
        <v>80</v>
      </c>
      <c r="CB28" t="s">
        <v>166</v>
      </c>
      <c r="CC28">
        <v>1</v>
      </c>
      <c r="CD28" t="s">
        <v>117</v>
      </c>
      <c r="CE28" t="s">
        <v>166</v>
      </c>
      <c r="CF28">
        <v>1</v>
      </c>
      <c r="CG28" t="s">
        <v>117</v>
      </c>
      <c r="CN28" t="s">
        <v>314</v>
      </c>
      <c r="CO28" s="17">
        <v>1</v>
      </c>
      <c r="CP28" t="s">
        <v>75</v>
      </c>
      <c r="CT28" t="s">
        <v>127</v>
      </c>
      <c r="CU28">
        <f>B49</f>
        <v>100</v>
      </c>
      <c r="CV28" t="s">
        <v>90</v>
      </c>
      <c r="CZ28" t="s">
        <v>123</v>
      </c>
      <c r="DA28">
        <f>B51</f>
        <v>2.5</v>
      </c>
      <c r="DB28" t="s">
        <v>56</v>
      </c>
      <c r="FW28" t="s">
        <v>186</v>
      </c>
      <c r="FX28" s="1">
        <v>30</v>
      </c>
      <c r="HD28" t="s">
        <v>411</v>
      </c>
      <c r="HE28" s="1">
        <f>B29</f>
        <v>1.0500000000000001E-2</v>
      </c>
      <c r="HF28" t="s">
        <v>119</v>
      </c>
    </row>
    <row r="29" spans="1:214" ht="15.75" thickTop="1" x14ac:dyDescent="0.2">
      <c r="A29" t="s">
        <v>411</v>
      </c>
      <c r="B29" s="410">
        <v>1.0500000000000001E-2</v>
      </c>
      <c r="C29" t="s">
        <v>417</v>
      </c>
      <c r="D29" s="103" t="s">
        <v>3</v>
      </c>
      <c r="E29" s="104"/>
      <c r="F29" s="105" t="s">
        <v>0</v>
      </c>
      <c r="G29" t="s">
        <v>67</v>
      </c>
      <c r="H29">
        <v>350</v>
      </c>
      <c r="I29" t="s">
        <v>52</v>
      </c>
      <c r="J29" t="s">
        <v>370</v>
      </c>
      <c r="K29" s="1">
        <f>B54</f>
        <v>10.4</v>
      </c>
      <c r="L29" t="s">
        <v>380</v>
      </c>
      <c r="M29" t="s">
        <v>463</v>
      </c>
      <c r="N29" s="1">
        <f>B11</f>
        <v>2.2499999999999999E-2</v>
      </c>
      <c r="P29" t="s">
        <v>463</v>
      </c>
      <c r="Q29" s="1">
        <f>B7</f>
        <v>4.2700000000000002E-2</v>
      </c>
      <c r="V29" t="s">
        <v>51</v>
      </c>
      <c r="W29">
        <v>250</v>
      </c>
      <c r="X29" t="s">
        <v>60</v>
      </c>
      <c r="Y29" t="s">
        <v>51</v>
      </c>
      <c r="Z29">
        <f>Z41*Z42</f>
        <v>250</v>
      </c>
      <c r="AA29" t="s">
        <v>60</v>
      </c>
      <c r="AB29" t="s">
        <v>158</v>
      </c>
      <c r="AC29" s="1">
        <f t="shared" si="0"/>
        <v>0.33333333333333331</v>
      </c>
      <c r="AD29" s="1">
        <f t="shared" si="0"/>
        <v>0.33333333333333331</v>
      </c>
      <c r="AE29" s="1">
        <f t="shared" si="0"/>
        <v>0.33333333333333331</v>
      </c>
      <c r="AF29" s="1">
        <f t="shared" si="0"/>
        <v>0.33333333333333331</v>
      </c>
      <c r="AG29" s="1">
        <f>8/24</f>
        <v>0.33333333333333331</v>
      </c>
      <c r="AI29" t="s">
        <v>463</v>
      </c>
      <c r="AJ29" s="1">
        <f>B11</f>
        <v>2.2499999999999999E-2</v>
      </c>
      <c r="AL29" t="s">
        <v>463</v>
      </c>
      <c r="AM29" s="1">
        <f>B7</f>
        <v>4.2700000000000002E-2</v>
      </c>
      <c r="AR29" t="s">
        <v>463</v>
      </c>
      <c r="AS29" s="1">
        <f>B11</f>
        <v>2.2499999999999999E-2</v>
      </c>
      <c r="AU29" t="s">
        <v>463</v>
      </c>
      <c r="AV29" s="1">
        <f>B7</f>
        <v>4.2700000000000002E-2</v>
      </c>
      <c r="BA29" t="s">
        <v>463</v>
      </c>
      <c r="BB29" s="1">
        <f>B11</f>
        <v>2.2499999999999999E-2</v>
      </c>
      <c r="BD29" t="s">
        <v>463</v>
      </c>
      <c r="BE29" s="1">
        <f>B7</f>
        <v>4.2700000000000002E-2</v>
      </c>
      <c r="BJ29" t="s">
        <v>65</v>
      </c>
      <c r="BK29">
        <v>1</v>
      </c>
      <c r="BL29" t="s">
        <v>59</v>
      </c>
      <c r="BM29" t="s">
        <v>65</v>
      </c>
      <c r="BN29">
        <v>1</v>
      </c>
      <c r="BO29" t="s">
        <v>59</v>
      </c>
      <c r="BS29" t="s">
        <v>435</v>
      </c>
      <c r="BT29">
        <f>BT14/BT16</f>
        <v>1</v>
      </c>
      <c r="BU29" s="2"/>
      <c r="BW29">
        <v>1000</v>
      </c>
      <c r="BX29" t="s">
        <v>157</v>
      </c>
      <c r="BY29" t="s">
        <v>238</v>
      </c>
      <c r="BZ29">
        <v>1</v>
      </c>
      <c r="CA29" t="s">
        <v>80</v>
      </c>
      <c r="CB29" t="s">
        <v>460</v>
      </c>
      <c r="CC29" s="1">
        <f>B22</f>
        <v>1.96</v>
      </c>
      <c r="CD29" t="s">
        <v>121</v>
      </c>
      <c r="CE29" t="s">
        <v>460</v>
      </c>
      <c r="CF29" s="1">
        <f>B24</f>
        <v>5.58</v>
      </c>
      <c r="CG29" t="s">
        <v>121</v>
      </c>
      <c r="CT29" t="s">
        <v>223</v>
      </c>
      <c r="CU29">
        <f>B45</f>
        <v>10</v>
      </c>
      <c r="CV29" t="s">
        <v>78</v>
      </c>
      <c r="CZ29" t="s">
        <v>223</v>
      </c>
      <c r="DA29">
        <f>B45</f>
        <v>10</v>
      </c>
      <c r="DB29" t="s">
        <v>241</v>
      </c>
      <c r="FW29" t="s">
        <v>296</v>
      </c>
      <c r="FX29" s="1">
        <v>8.1999999999999993</v>
      </c>
      <c r="HD29" t="s">
        <v>156</v>
      </c>
      <c r="HE29">
        <v>0.3</v>
      </c>
    </row>
    <row r="30" spans="1:214" ht="15" x14ac:dyDescent="0.2">
      <c r="A30" t="s">
        <v>148</v>
      </c>
      <c r="B30" s="410">
        <f>PEF!D3</f>
        <v>1359344473.5814338</v>
      </c>
      <c r="D30" s="106" t="s">
        <v>150</v>
      </c>
      <c r="E30" s="107" t="s">
        <v>456</v>
      </c>
      <c r="F30" s="108" t="s">
        <v>22</v>
      </c>
      <c r="G30" t="s">
        <v>73</v>
      </c>
      <c r="H30">
        <v>350</v>
      </c>
      <c r="I30" t="s">
        <v>52</v>
      </c>
      <c r="J30" t="s">
        <v>371</v>
      </c>
      <c r="K30" s="1">
        <f>B55</f>
        <v>28.5</v>
      </c>
      <c r="L30" t="s">
        <v>380</v>
      </c>
      <c r="M30" t="s">
        <v>105</v>
      </c>
      <c r="N30" s="1">
        <f>B12</f>
        <v>0.46300000000000002</v>
      </c>
      <c r="P30" t="s">
        <v>105</v>
      </c>
      <c r="Q30" s="1">
        <f>B8</f>
        <v>0.72299999999999998</v>
      </c>
      <c r="V30" t="s">
        <v>65</v>
      </c>
      <c r="W30">
        <v>1</v>
      </c>
      <c r="X30" t="s">
        <v>59</v>
      </c>
      <c r="Y30" t="s">
        <v>65</v>
      </c>
      <c r="Z30">
        <v>1</v>
      </c>
      <c r="AA30" t="s">
        <v>59</v>
      </c>
      <c r="AB30" t="s">
        <v>161</v>
      </c>
      <c r="AC30">
        <v>0.4</v>
      </c>
      <c r="AD30">
        <v>0.4</v>
      </c>
      <c r="AE30">
        <v>0.4</v>
      </c>
      <c r="AF30">
        <v>0.4</v>
      </c>
      <c r="AG30">
        <v>0.4</v>
      </c>
      <c r="AI30" t="s">
        <v>105</v>
      </c>
      <c r="AJ30" s="1">
        <f>B12</f>
        <v>0.46300000000000002</v>
      </c>
      <c r="AL30" t="s">
        <v>105</v>
      </c>
      <c r="AM30" s="1">
        <f>B8</f>
        <v>0.72299999999999998</v>
      </c>
      <c r="AR30" t="s">
        <v>105</v>
      </c>
      <c r="AS30" s="1">
        <f>B12</f>
        <v>0.46300000000000002</v>
      </c>
      <c r="AU30" t="s">
        <v>105</v>
      </c>
      <c r="AV30" s="1">
        <f>B8</f>
        <v>0.72299999999999998</v>
      </c>
      <c r="BA30" t="s">
        <v>105</v>
      </c>
      <c r="BB30" s="1">
        <f>B12</f>
        <v>0.46300000000000002</v>
      </c>
      <c r="BD30" t="s">
        <v>105</v>
      </c>
      <c r="BE30" s="1">
        <f>B8</f>
        <v>0.72299999999999998</v>
      </c>
      <c r="BS30" t="s">
        <v>434</v>
      </c>
      <c r="BT30">
        <f>BT15/BT16</f>
        <v>1</v>
      </c>
      <c r="BW30">
        <v>1000</v>
      </c>
      <c r="BX30" t="s">
        <v>376</v>
      </c>
      <c r="BY30" t="s">
        <v>239</v>
      </c>
      <c r="BZ30">
        <v>1</v>
      </c>
      <c r="CA30" t="s">
        <v>80</v>
      </c>
      <c r="CT30" t="s">
        <v>224</v>
      </c>
      <c r="CU30">
        <f>B46</f>
        <v>20</v>
      </c>
      <c r="CV30" t="s">
        <v>78</v>
      </c>
      <c r="CZ30" t="s">
        <v>224</v>
      </c>
      <c r="DA30">
        <f>B46</f>
        <v>20</v>
      </c>
      <c r="DB30" t="s">
        <v>241</v>
      </c>
      <c r="FX30">
        <v>1000</v>
      </c>
      <c r="FY30" t="s">
        <v>213</v>
      </c>
      <c r="HD30" t="s">
        <v>159</v>
      </c>
      <c r="HE30" s="1">
        <v>1.5</v>
      </c>
    </row>
    <row r="31" spans="1:214" x14ac:dyDescent="0.2">
      <c r="A31" t="s">
        <v>184</v>
      </c>
      <c r="B31" s="410">
        <f>PEF!G3</f>
        <v>776129.4078035407</v>
      </c>
      <c r="D31" s="106" t="s">
        <v>150</v>
      </c>
      <c r="E31" s="109" t="e">
        <f>E38</f>
        <v>#DIV/0!</v>
      </c>
      <c r="F31" s="110"/>
      <c r="G31" t="s">
        <v>100</v>
      </c>
      <c r="H31">
        <v>1</v>
      </c>
      <c r="I31" t="s">
        <v>119</v>
      </c>
      <c r="J31" t="s">
        <v>67</v>
      </c>
      <c r="K31">
        <v>350</v>
      </c>
      <c r="L31" t="s">
        <v>52</v>
      </c>
      <c r="M31" t="s">
        <v>114</v>
      </c>
      <c r="N31">
        <v>7.2999999999999995E-2</v>
      </c>
      <c r="O31" t="s">
        <v>115</v>
      </c>
      <c r="P31" t="s">
        <v>114</v>
      </c>
      <c r="Q31">
        <v>7.2999999999999995E-2</v>
      </c>
      <c r="R31" t="s">
        <v>115</v>
      </c>
      <c r="V31" t="s">
        <v>436</v>
      </c>
      <c r="W31" s="1">
        <f>B17</f>
        <v>0</v>
      </c>
      <c r="X31" t="s">
        <v>72</v>
      </c>
      <c r="Y31" t="s">
        <v>436</v>
      </c>
      <c r="Z31" s="1">
        <f>B17</f>
        <v>0</v>
      </c>
      <c r="AA31" t="s">
        <v>72</v>
      </c>
      <c r="AB31" t="s">
        <v>144</v>
      </c>
      <c r="AC31">
        <v>25</v>
      </c>
      <c r="AD31">
        <v>25</v>
      </c>
      <c r="AE31">
        <v>25</v>
      </c>
      <c r="AF31">
        <v>1</v>
      </c>
      <c r="AG31">
        <v>1</v>
      </c>
      <c r="AH31" t="s">
        <v>88</v>
      </c>
      <c r="AI31" t="s">
        <v>114</v>
      </c>
      <c r="AJ31">
        <v>0</v>
      </c>
      <c r="AK31" t="s">
        <v>115</v>
      </c>
      <c r="AL31" t="s">
        <v>114</v>
      </c>
      <c r="AM31">
        <v>0</v>
      </c>
      <c r="AN31" t="s">
        <v>115</v>
      </c>
      <c r="AR31" t="s">
        <v>116</v>
      </c>
      <c r="AS31">
        <f>8/24</f>
        <v>0.33333333333333331</v>
      </c>
      <c r="AT31" t="s">
        <v>117</v>
      </c>
      <c r="AU31" t="s">
        <v>114</v>
      </c>
      <c r="AV31">
        <f>8/24</f>
        <v>0.33333333333333331</v>
      </c>
      <c r="AW31" t="s">
        <v>115</v>
      </c>
      <c r="BA31" t="s">
        <v>116</v>
      </c>
      <c r="BB31">
        <f>8/24</f>
        <v>0.33333333333333331</v>
      </c>
      <c r="BC31" t="s">
        <v>117</v>
      </c>
      <c r="BD31" t="s">
        <v>114</v>
      </c>
      <c r="BE31">
        <f>8/24</f>
        <v>0.33333333333333331</v>
      </c>
      <c r="BF31" t="s">
        <v>115</v>
      </c>
      <c r="BJ31" t="s">
        <v>463</v>
      </c>
      <c r="BK31" s="1">
        <f>B11</f>
        <v>2.2499999999999999E-2</v>
      </c>
      <c r="BM31" t="s">
        <v>463</v>
      </c>
      <c r="BN31" s="1">
        <f>B7</f>
        <v>4.2700000000000002E-2</v>
      </c>
      <c r="BW31">
        <v>365</v>
      </c>
      <c r="BX31" t="s">
        <v>52</v>
      </c>
      <c r="BY31" t="s">
        <v>465</v>
      </c>
      <c r="BZ31" s="1">
        <f>B2</f>
        <v>6.8000000000000005E-2</v>
      </c>
      <c r="CT31" t="s">
        <v>67</v>
      </c>
      <c r="CU31">
        <v>350</v>
      </c>
      <c r="CV31" t="s">
        <v>52</v>
      </c>
      <c r="CZ31" t="s">
        <v>242</v>
      </c>
      <c r="DA31" s="1">
        <f>B52</f>
        <v>14.8</v>
      </c>
      <c r="DB31" t="s">
        <v>380</v>
      </c>
      <c r="HD31" t="s">
        <v>58</v>
      </c>
      <c r="HE31">
        <v>26</v>
      </c>
    </row>
    <row r="32" spans="1:214" ht="13.5" thickBot="1" x14ac:dyDescent="0.25">
      <c r="A32" t="s">
        <v>185</v>
      </c>
      <c r="B32" s="410">
        <f>PEF!J3</f>
        <v>69557565.807898715</v>
      </c>
      <c r="D32" s="111"/>
      <c r="E32" s="112" t="s">
        <v>33</v>
      </c>
      <c r="F32" s="113"/>
      <c r="G32" t="s">
        <v>83</v>
      </c>
      <c r="H32">
        <v>1</v>
      </c>
      <c r="J32" t="s">
        <v>73</v>
      </c>
      <c r="K32">
        <v>350</v>
      </c>
      <c r="L32" t="s">
        <v>52</v>
      </c>
      <c r="M32" t="s">
        <v>460</v>
      </c>
      <c r="N32" s="1">
        <f>B22</f>
        <v>1.96</v>
      </c>
      <c r="O32" t="s">
        <v>121</v>
      </c>
      <c r="P32" t="s">
        <v>460</v>
      </c>
      <c r="Q32" s="1">
        <f>B24</f>
        <v>5.58</v>
      </c>
      <c r="R32" t="s">
        <v>121</v>
      </c>
      <c r="V32" t="s">
        <v>79</v>
      </c>
      <c r="W32">
        <v>8</v>
      </c>
      <c r="X32" t="s">
        <v>80</v>
      </c>
      <c r="Y32" t="s">
        <v>79</v>
      </c>
      <c r="Z32">
        <v>8</v>
      </c>
      <c r="AA32" t="s">
        <v>80</v>
      </c>
      <c r="AB32" t="s">
        <v>49</v>
      </c>
      <c r="AC32" s="1">
        <f>0.693/AC33</f>
        <v>65.999999999999986</v>
      </c>
      <c r="AD32" s="1">
        <f>0.693/AD33</f>
        <v>65.999999999999986</v>
      </c>
      <c r="AE32" s="1">
        <f>0.693/AE33</f>
        <v>65.999999999999986</v>
      </c>
      <c r="AF32" s="1">
        <f>0.693/AF33</f>
        <v>65.999999999999986</v>
      </c>
      <c r="AG32" s="1">
        <f>0.693/AG33</f>
        <v>65.999999999999986</v>
      </c>
      <c r="AI32" t="s">
        <v>460</v>
      </c>
      <c r="AJ32" s="1">
        <f>B22</f>
        <v>1.96</v>
      </c>
      <c r="AK32" t="s">
        <v>121</v>
      </c>
      <c r="AL32" t="s">
        <v>460</v>
      </c>
      <c r="AM32" s="1">
        <f>B24</f>
        <v>5.58</v>
      </c>
      <c r="AN32" t="s">
        <v>121</v>
      </c>
      <c r="AR32" t="s">
        <v>460</v>
      </c>
      <c r="AS32" s="1">
        <f>B22</f>
        <v>1.96</v>
      </c>
      <c r="AT32" t="s">
        <v>121</v>
      </c>
      <c r="AU32" t="s">
        <v>460</v>
      </c>
      <c r="AV32" s="1">
        <f>B24</f>
        <v>5.58</v>
      </c>
      <c r="AW32" t="s">
        <v>121</v>
      </c>
      <c r="BA32" t="s">
        <v>460</v>
      </c>
      <c r="BB32" s="1">
        <f>B22</f>
        <v>1.96</v>
      </c>
      <c r="BC32" t="s">
        <v>121</v>
      </c>
      <c r="BD32" t="s">
        <v>460</v>
      </c>
      <c r="BE32" s="1">
        <f>B24</f>
        <v>5.58</v>
      </c>
      <c r="BF32" t="s">
        <v>121</v>
      </c>
      <c r="BJ32" t="s">
        <v>105</v>
      </c>
      <c r="BK32" s="1">
        <f>B12</f>
        <v>0.46300000000000002</v>
      </c>
      <c r="BM32" t="s">
        <v>105</v>
      </c>
      <c r="BN32" s="1">
        <f>B8</f>
        <v>0.72299999999999998</v>
      </c>
      <c r="BT32" s="1"/>
      <c r="BW32">
        <v>8760</v>
      </c>
      <c r="BX32" t="s">
        <v>237</v>
      </c>
      <c r="BY32" t="s">
        <v>105</v>
      </c>
      <c r="BZ32" s="1">
        <f>B3</f>
        <v>0.75600000000000001</v>
      </c>
      <c r="CT32" t="s">
        <v>73</v>
      </c>
      <c r="CU32">
        <v>350</v>
      </c>
      <c r="CV32" t="s">
        <v>52</v>
      </c>
      <c r="CZ32" t="s">
        <v>162</v>
      </c>
      <c r="DA32" s="1">
        <f>B53</f>
        <v>56.2</v>
      </c>
      <c r="DB32" t="s">
        <v>380</v>
      </c>
      <c r="DY32" s="413"/>
      <c r="HD32" t="s">
        <v>65</v>
      </c>
      <c r="HE32" s="1">
        <v>70</v>
      </c>
    </row>
    <row r="33" spans="1:214" ht="13.15" customHeight="1" thickTop="1" x14ac:dyDescent="0.2">
      <c r="A33" t="s">
        <v>411</v>
      </c>
      <c r="B33" s="410">
        <v>3.82</v>
      </c>
      <c r="C33" t="s">
        <v>381</v>
      </c>
      <c r="D33" t="s">
        <v>485</v>
      </c>
      <c r="E33" s="1">
        <v>1</v>
      </c>
      <c r="G33" t="s">
        <v>98</v>
      </c>
      <c r="H33">
        <v>1</v>
      </c>
      <c r="J33" t="s">
        <v>100</v>
      </c>
      <c r="K33">
        <v>1</v>
      </c>
      <c r="L33" t="s">
        <v>119</v>
      </c>
      <c r="M33" t="s">
        <v>136</v>
      </c>
      <c r="N33">
        <v>0.68300000000000005</v>
      </c>
      <c r="O33" t="s">
        <v>115</v>
      </c>
      <c r="P33" t="s">
        <v>136</v>
      </c>
      <c r="Q33">
        <v>0.68300000000000005</v>
      </c>
      <c r="R33" t="s">
        <v>115</v>
      </c>
      <c r="W33">
        <v>24</v>
      </c>
      <c r="X33" t="s">
        <v>80</v>
      </c>
      <c r="Z33">
        <v>24</v>
      </c>
      <c r="AA33" t="s">
        <v>80</v>
      </c>
      <c r="AB33" t="s">
        <v>411</v>
      </c>
      <c r="AC33" s="1">
        <f>B29</f>
        <v>1.0500000000000001E-2</v>
      </c>
      <c r="AD33" s="1">
        <f>B29</f>
        <v>1.0500000000000001E-2</v>
      </c>
      <c r="AE33" s="1">
        <f>B29</f>
        <v>1.0500000000000001E-2</v>
      </c>
      <c r="AF33" s="1">
        <f>B29</f>
        <v>1.0500000000000001E-2</v>
      </c>
      <c r="AG33" s="1">
        <f>B29</f>
        <v>1.0500000000000001E-2</v>
      </c>
      <c r="AH33" t="s">
        <v>119</v>
      </c>
      <c r="AI33" t="s">
        <v>136</v>
      </c>
      <c r="AJ33">
        <f>8/24</f>
        <v>0.33333333333333331</v>
      </c>
      <c r="AK33" t="s">
        <v>115</v>
      </c>
      <c r="AL33" t="s">
        <v>136</v>
      </c>
      <c r="AM33">
        <f>8/24</f>
        <v>0.33333333333333331</v>
      </c>
      <c r="AN33" t="s">
        <v>115</v>
      </c>
      <c r="AR33" t="s">
        <v>136</v>
      </c>
      <c r="AS33">
        <v>0</v>
      </c>
      <c r="AT33" t="s">
        <v>115</v>
      </c>
      <c r="AU33" t="s">
        <v>136</v>
      </c>
      <c r="AV33">
        <v>0</v>
      </c>
      <c r="AW33" t="s">
        <v>115</v>
      </c>
      <c r="BA33" t="s">
        <v>136</v>
      </c>
      <c r="BB33">
        <v>0</v>
      </c>
      <c r="BC33" t="s">
        <v>115</v>
      </c>
      <c r="BD33" t="s">
        <v>136</v>
      </c>
      <c r="BE33">
        <v>0</v>
      </c>
      <c r="BF33" t="s">
        <v>115</v>
      </c>
      <c r="BJ33" t="s">
        <v>116</v>
      </c>
      <c r="BK33">
        <f>8/24</f>
        <v>0.33333333333333331</v>
      </c>
      <c r="BL33" t="s">
        <v>117</v>
      </c>
      <c r="BM33" t="s">
        <v>114</v>
      </c>
      <c r="BN33">
        <f>8/24</f>
        <v>0.33333333333333331</v>
      </c>
      <c r="BO33" t="s">
        <v>115</v>
      </c>
      <c r="BV33" t="s">
        <v>435</v>
      </c>
      <c r="BW33">
        <f>BW21/BW20</f>
        <v>1</v>
      </c>
      <c r="BY33" t="s">
        <v>174</v>
      </c>
      <c r="BZ33">
        <v>26</v>
      </c>
      <c r="CA33" t="s">
        <v>88</v>
      </c>
      <c r="CT33" t="s">
        <v>229</v>
      </c>
      <c r="CU33">
        <v>1</v>
      </c>
      <c r="CV33" t="s">
        <v>119</v>
      </c>
      <c r="CZ33" t="s">
        <v>243</v>
      </c>
      <c r="DA33" s="1">
        <f>B54</f>
        <v>10.4</v>
      </c>
      <c r="DB33" t="s">
        <v>380</v>
      </c>
      <c r="DY33" s="413"/>
      <c r="HD33" t="s">
        <v>391</v>
      </c>
      <c r="HE33" s="1">
        <f>1+((HE35*HE36*HE37)/(HE38*HE39))</f>
        <v>16.660043458695149</v>
      </c>
    </row>
    <row r="34" spans="1:214" ht="13.15" customHeight="1" x14ac:dyDescent="0.2">
      <c r="A34" t="s">
        <v>186</v>
      </c>
      <c r="B34" s="411">
        <v>0</v>
      </c>
      <c r="C34" t="s">
        <v>45</v>
      </c>
      <c r="D34" t="s">
        <v>51</v>
      </c>
      <c r="E34">
        <v>350</v>
      </c>
      <c r="F34" t="s">
        <v>52</v>
      </c>
      <c r="G34" t="s">
        <v>163</v>
      </c>
      <c r="H34">
        <v>0.54</v>
      </c>
      <c r="I34" t="s">
        <v>164</v>
      </c>
      <c r="J34" t="s">
        <v>98</v>
      </c>
      <c r="K34">
        <v>1</v>
      </c>
      <c r="L34" t="s">
        <v>119</v>
      </c>
      <c r="V34" t="s">
        <v>96</v>
      </c>
      <c r="W34">
        <f>B47</f>
        <v>60</v>
      </c>
      <c r="X34" t="s">
        <v>78</v>
      </c>
      <c r="Y34" t="s">
        <v>96</v>
      </c>
      <c r="Z34">
        <f>B47</f>
        <v>60</v>
      </c>
      <c r="AA34" t="s">
        <v>78</v>
      </c>
      <c r="AC34">
        <v>365</v>
      </c>
      <c r="AD34">
        <v>365</v>
      </c>
      <c r="AE34">
        <v>365</v>
      </c>
      <c r="AF34">
        <v>365</v>
      </c>
      <c r="AG34">
        <v>365</v>
      </c>
      <c r="AH34" t="s">
        <v>173</v>
      </c>
      <c r="BJ34" t="s">
        <v>460</v>
      </c>
      <c r="BK34" s="1">
        <f>B22</f>
        <v>1.96</v>
      </c>
      <c r="BL34" t="s">
        <v>121</v>
      </c>
      <c r="BM34" t="s">
        <v>460</v>
      </c>
      <c r="BN34" s="1">
        <f>B24</f>
        <v>5.58</v>
      </c>
      <c r="BO34" t="s">
        <v>121</v>
      </c>
      <c r="BV34" t="s">
        <v>434</v>
      </c>
      <c r="BW34">
        <f>BW22/BW20</f>
        <v>1</v>
      </c>
      <c r="BZ34">
        <v>365</v>
      </c>
      <c r="CA34" t="s">
        <v>173</v>
      </c>
      <c r="CH34" s="429" t="s">
        <v>393</v>
      </c>
      <c r="CI34" s="429"/>
      <c r="CJ34" s="429"/>
      <c r="CK34" s="429"/>
      <c r="CL34" s="429"/>
      <c r="CT34" t="s">
        <v>98</v>
      </c>
      <c r="CU34">
        <v>1</v>
      </c>
      <c r="CV34" t="s">
        <v>119</v>
      </c>
      <c r="CZ34" t="s">
        <v>244</v>
      </c>
      <c r="DA34" s="1">
        <f>B55</f>
        <v>28.5</v>
      </c>
      <c r="DB34" t="s">
        <v>380</v>
      </c>
      <c r="DS34" s="1"/>
      <c r="DY34" s="413"/>
      <c r="EH34" s="1"/>
      <c r="HD34" t="s">
        <v>167</v>
      </c>
      <c r="HE34">
        <v>8.1999999999999993</v>
      </c>
    </row>
    <row r="35" spans="1:214" ht="13.15" customHeight="1" x14ac:dyDescent="0.2">
      <c r="A35" t="s">
        <v>421</v>
      </c>
      <c r="B35" s="410">
        <v>0</v>
      </c>
      <c r="D35" t="s">
        <v>447</v>
      </c>
      <c r="E35" s="1">
        <f>B28</f>
        <v>0</v>
      </c>
      <c r="F35" t="s">
        <v>160</v>
      </c>
      <c r="G35" t="s">
        <v>165</v>
      </c>
      <c r="H35">
        <v>0.71</v>
      </c>
      <c r="I35" t="s">
        <v>164</v>
      </c>
      <c r="J35" t="s">
        <v>83</v>
      </c>
      <c r="K35">
        <v>1</v>
      </c>
      <c r="L35" t="s">
        <v>119</v>
      </c>
      <c r="M35" s="407"/>
      <c r="N35" s="407"/>
      <c r="O35" s="407"/>
      <c r="P35" s="407"/>
      <c r="Q35" s="407"/>
      <c r="R35" s="407"/>
      <c r="V35" t="s">
        <v>445</v>
      </c>
      <c r="W35" s="1">
        <f>B26</f>
        <v>9.7300000000000008E-3</v>
      </c>
      <c r="X35" t="s">
        <v>107</v>
      </c>
      <c r="Y35" t="s">
        <v>445</v>
      </c>
      <c r="Z35" s="1">
        <f>B26</f>
        <v>9.7300000000000008E-3</v>
      </c>
      <c r="AA35" t="s">
        <v>107</v>
      </c>
      <c r="AB35" t="s">
        <v>37</v>
      </c>
      <c r="AC35">
        <f>(AC31*AC32)/(1-EXP(-AC32*AC31))</f>
        <v>1649.9999999999995</v>
      </c>
      <c r="AD35">
        <f>(AD31*AD32)/(1-EXP(-AD32*AD31))</f>
        <v>1649.9999999999995</v>
      </c>
      <c r="AE35">
        <f>(AE31*AE32)/(1-EXP(-AE32*AE31))</f>
        <v>1649.9999999999995</v>
      </c>
      <c r="AF35">
        <f>(AF31*AF32)/(1-EXP(-AF32*AF31))</f>
        <v>65.999999999999986</v>
      </c>
      <c r="AG35">
        <f>(AG31*AG32)/(1-EXP(-AG32*AG31))</f>
        <v>65.999999999999986</v>
      </c>
      <c r="BT35" s="1"/>
      <c r="BZ35">
        <v>1000</v>
      </c>
      <c r="CA35" t="s">
        <v>179</v>
      </c>
      <c r="CH35" s="429"/>
      <c r="CI35" s="429"/>
      <c r="CJ35" s="429"/>
      <c r="CK35" s="429"/>
      <c r="CL35" s="429"/>
      <c r="CT35" t="s">
        <v>83</v>
      </c>
      <c r="CU35">
        <v>1</v>
      </c>
      <c r="CV35" t="s">
        <v>119</v>
      </c>
      <c r="CZ35" t="s">
        <v>246</v>
      </c>
      <c r="DA35">
        <v>350</v>
      </c>
      <c r="DB35" t="s">
        <v>245</v>
      </c>
      <c r="DS35" s="1"/>
      <c r="DY35" s="413"/>
      <c r="EH35" s="1"/>
      <c r="HD35" t="s">
        <v>131</v>
      </c>
      <c r="HE35" s="4">
        <v>5</v>
      </c>
      <c r="HF35" t="s">
        <v>170</v>
      </c>
    </row>
    <row r="36" spans="1:214" ht="13.15" customHeight="1" x14ac:dyDescent="0.2">
      <c r="A36" t="s">
        <v>418</v>
      </c>
      <c r="B36" s="410">
        <v>0</v>
      </c>
      <c r="D36" t="s">
        <v>65</v>
      </c>
      <c r="E36">
        <v>26</v>
      </c>
      <c r="F36" t="s">
        <v>119</v>
      </c>
      <c r="G36" t="s">
        <v>168</v>
      </c>
      <c r="H36">
        <v>24</v>
      </c>
      <c r="I36" t="s">
        <v>80</v>
      </c>
      <c r="J36" t="s">
        <v>238</v>
      </c>
      <c r="K36">
        <v>24</v>
      </c>
      <c r="L36" t="s">
        <v>80</v>
      </c>
      <c r="M36" s="407"/>
      <c r="N36" s="407"/>
      <c r="O36" s="407"/>
      <c r="P36" s="407"/>
      <c r="Q36" s="407"/>
      <c r="R36" s="407"/>
      <c r="V36" t="s">
        <v>464</v>
      </c>
      <c r="W36" s="1">
        <f>B2</f>
        <v>6.8000000000000005E-2</v>
      </c>
      <c r="Y36" t="s">
        <v>464</v>
      </c>
      <c r="Z36" s="1">
        <f>B2</f>
        <v>6.8000000000000005E-2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 t="s">
        <v>179</v>
      </c>
      <c r="BK36" s="429" t="s">
        <v>405</v>
      </c>
      <c r="BL36" s="429"/>
      <c r="BM36" s="429"/>
      <c r="BN36" s="429"/>
      <c r="BO36" s="429"/>
      <c r="BZ36">
        <v>1000</v>
      </c>
      <c r="CA36" t="s">
        <v>50</v>
      </c>
      <c r="CH36" s="429"/>
      <c r="CI36" s="429"/>
      <c r="CJ36" s="429"/>
      <c r="CK36" s="429"/>
      <c r="CL36" s="429"/>
      <c r="CT36" t="s">
        <v>382</v>
      </c>
      <c r="CU36">
        <v>24</v>
      </c>
      <c r="CV36" t="s">
        <v>80</v>
      </c>
      <c r="CZ36" t="s">
        <v>247</v>
      </c>
      <c r="DA36">
        <v>350</v>
      </c>
      <c r="DB36" t="s">
        <v>245</v>
      </c>
      <c r="DS36" s="1"/>
      <c r="DY36" s="414"/>
      <c r="EH36" s="1"/>
      <c r="HD36" t="s">
        <v>171</v>
      </c>
      <c r="HE36" s="4">
        <v>5</v>
      </c>
      <c r="HF36" t="s">
        <v>172</v>
      </c>
    </row>
    <row r="37" spans="1:214" x14ac:dyDescent="0.2">
      <c r="A37" t="s">
        <v>419</v>
      </c>
      <c r="B37" s="410">
        <v>0</v>
      </c>
      <c r="D37" t="s">
        <v>162</v>
      </c>
      <c r="E37">
        <f>B55</f>
        <v>28.5</v>
      </c>
      <c r="F37" t="s">
        <v>90</v>
      </c>
      <c r="G37" t="s">
        <v>168</v>
      </c>
      <c r="H37">
        <v>24</v>
      </c>
      <c r="I37" t="s">
        <v>80</v>
      </c>
      <c r="J37" t="s">
        <v>239</v>
      </c>
      <c r="K37">
        <v>24</v>
      </c>
      <c r="L37" t="s">
        <v>80</v>
      </c>
      <c r="V37" t="s">
        <v>452</v>
      </c>
      <c r="W37" s="1" t="e">
        <f>W26/((W32/W33)*W29*W30*W31*W34)</f>
        <v>#DIV/0!</v>
      </c>
      <c r="X37" t="s">
        <v>36</v>
      </c>
      <c r="Y37" t="s">
        <v>452</v>
      </c>
      <c r="Z37" s="1" t="e">
        <f>(Z26*Z30*Z27)/((1-EXP(-Z27))*Z30*Z31*Z29*Z43*(Z32/Z33)*Z34)</f>
        <v>#DIV/0!</v>
      </c>
      <c r="AA37" t="s">
        <v>37</v>
      </c>
      <c r="AB37" t="s">
        <v>451</v>
      </c>
      <c r="AC37" s="1" t="e">
        <f>(AC5/(AC9*AC16*AC8*AC11*(1/AC6)))*AC35</f>
        <v>#DIV/0!</v>
      </c>
      <c r="AD37" s="1" t="e">
        <f>(AD5/(AD9*AD16*AD8*AD11*(1/AD6)))*AD35</f>
        <v>#DIV/0!</v>
      </c>
      <c r="AE37" s="1" t="e">
        <f>(AE5/(AE9*AE16*AE8*AE11*(1/AE6)))*AE35</f>
        <v>#DIV/0!</v>
      </c>
      <c r="AF37" s="1" t="e">
        <f>(AF5/(AF9*AF16*AF8*AF11*(1/AF6)))*AF35</f>
        <v>#DIV/0!</v>
      </c>
      <c r="AG37" s="1" t="e">
        <f>(AG5/(AG9*AG16*AG8*AG11*(1/AG6)))*AG35</f>
        <v>#DIV/0!</v>
      </c>
      <c r="BK37" s="429"/>
      <c r="BL37" s="429"/>
      <c r="BM37" s="429"/>
      <c r="BN37" s="429"/>
      <c r="BO37" s="429"/>
      <c r="BY37" t="s">
        <v>435</v>
      </c>
      <c r="BZ37">
        <f>BZ27/BZ25</f>
        <v>1</v>
      </c>
      <c r="CH37" s="429"/>
      <c r="CI37" s="429"/>
      <c r="CJ37" s="429"/>
      <c r="CK37" s="429"/>
      <c r="CL37" s="429"/>
      <c r="CT37" t="s">
        <v>239</v>
      </c>
      <c r="CU37">
        <v>24</v>
      </c>
      <c r="CV37" t="s">
        <v>80</v>
      </c>
      <c r="CZ37" t="s">
        <v>227</v>
      </c>
      <c r="DA37">
        <v>1</v>
      </c>
      <c r="DB37" t="s">
        <v>119</v>
      </c>
      <c r="DS37" s="1"/>
      <c r="DY37" s="413"/>
      <c r="EH37" s="1"/>
      <c r="HD37" t="s">
        <v>175</v>
      </c>
      <c r="HE37" s="4">
        <f>(0.0112*HE39*HE39)^0.5+HE40*(1-EXP((-HE38*HE39)/(HE35*HE36*HE40)))</f>
        <v>6.2013772096432787</v>
      </c>
      <c r="HF37" t="s">
        <v>176</v>
      </c>
    </row>
    <row r="38" spans="1:214" x14ac:dyDescent="0.2">
      <c r="A38" t="s">
        <v>319</v>
      </c>
      <c r="B38" s="410">
        <v>0</v>
      </c>
      <c r="D38" t="s">
        <v>451</v>
      </c>
      <c r="E38" s="1" t="e">
        <f>E33/(E35*E34*E36*E37)</f>
        <v>#DIV/0!</v>
      </c>
      <c r="F38" t="s">
        <v>22</v>
      </c>
      <c r="G38" t="s">
        <v>151</v>
      </c>
      <c r="H38">
        <v>1</v>
      </c>
      <c r="I38" t="s">
        <v>152</v>
      </c>
      <c r="J38" t="s">
        <v>369</v>
      </c>
      <c r="K38">
        <v>0.25</v>
      </c>
      <c r="V38" t="s">
        <v>477</v>
      </c>
      <c r="W38" s="1">
        <f>(W26)/((W32/W33)*W29*W30*W35*(1/365))</f>
        <v>450.1541623843782</v>
      </c>
      <c r="X38" t="s">
        <v>36</v>
      </c>
      <c r="Y38" t="s">
        <v>477</v>
      </c>
      <c r="Z38" s="1">
        <f>(Z26*Z30*Z27)/((1-EXP(-Z27*Z30))*Z35*Z29*Z43*(Z32/Z33)*Z36*(Z43/Z44))</f>
        <v>436914.33407895523</v>
      </c>
      <c r="AA38" t="s">
        <v>37</v>
      </c>
      <c r="AB38" t="s">
        <v>452</v>
      </c>
      <c r="AC38" s="1" t="e">
        <f>(AC5/(AC24*AC20*AC8*AC11*(1/AC40)*((8/1)/(24/1))*AC36))*AC35</f>
        <v>#DIV/0!</v>
      </c>
      <c r="AD38" s="1" t="e">
        <f>(AD5/(AD24*AD20*AD8*((8/1)/(24/1))*AD11*(1/AD40)*AD36))*AD35</f>
        <v>#DIV/0!</v>
      </c>
      <c r="AE38" s="1" t="e">
        <f>(AE5/(AE24*AE20*AE8*((8/1)/(24/1))*AE11*(1/AE40)*AE36))*AE35</f>
        <v>#DIV/0!</v>
      </c>
      <c r="AF38" s="1" t="e">
        <f>(AF5/(AF24*AF20*AF8*AF11*(1/AF41)*AF28*AF19*AF36))*AF35</f>
        <v>#DIV/0!</v>
      </c>
      <c r="AG38" s="1">
        <v>432</v>
      </c>
      <c r="BK38" s="429"/>
      <c r="BL38" s="429"/>
      <c r="BM38" s="429"/>
      <c r="BN38" s="429"/>
      <c r="BO38" s="429"/>
      <c r="BY38" t="s">
        <v>434</v>
      </c>
      <c r="BZ38">
        <f>BZ26/BZ25</f>
        <v>1</v>
      </c>
      <c r="CT38" t="s">
        <v>383</v>
      </c>
      <c r="CU38">
        <v>1</v>
      </c>
      <c r="CZ38" t="s">
        <v>228</v>
      </c>
      <c r="DA38">
        <v>1</v>
      </c>
      <c r="DB38" t="s">
        <v>119</v>
      </c>
      <c r="DY38" s="413"/>
      <c r="HD38" t="s">
        <v>178</v>
      </c>
      <c r="HE38" s="4">
        <v>0.18</v>
      </c>
      <c r="HF38" t="s">
        <v>170</v>
      </c>
    </row>
    <row r="39" spans="1:214" ht="13.5" thickBot="1" x14ac:dyDescent="0.25">
      <c r="A39" t="s">
        <v>420</v>
      </c>
      <c r="B39" s="410">
        <v>0</v>
      </c>
      <c r="G39" t="s">
        <v>153</v>
      </c>
      <c r="H39">
        <v>1</v>
      </c>
      <c r="I39" t="s">
        <v>152</v>
      </c>
      <c r="J39" t="s">
        <v>155</v>
      </c>
      <c r="K39">
        <v>1.752</v>
      </c>
      <c r="L39" t="s">
        <v>117</v>
      </c>
      <c r="V39" t="s">
        <v>452</v>
      </c>
      <c r="W39" s="1" t="e">
        <f>(W26*W27*W30)/((W32/W33)*(1-EXP(-W27*W30))*W31*W34*W29*W30)</f>
        <v>#DIV/0!</v>
      </c>
      <c r="X39" t="s">
        <v>37</v>
      </c>
      <c r="Y39" t="s">
        <v>452</v>
      </c>
      <c r="Z39" s="1" t="e">
        <f>Z26/((Z31*Z29*Z43*(Z32/Z33)*Z34))</f>
        <v>#DIV/0!</v>
      </c>
      <c r="AA39" t="s">
        <v>36</v>
      </c>
      <c r="AB39" t="s">
        <v>453</v>
      </c>
      <c r="AC39" s="1">
        <f>(AC5/(AC23*AC22*AC29*AC19*AC8*(1/AC34)*AC11))*AC35</f>
        <v>13262.380423867657</v>
      </c>
      <c r="AD39" s="1">
        <f>(AD5/(AD23*AD22*AD29*AD21*AD8*(1/AD34)*AD11))*AD35</f>
        <v>2254.6046720575023</v>
      </c>
      <c r="AE39" s="1">
        <f>(AE5/(AE23*AE22*AE29*AE19*AE8*(1/AE34)*AE11))*AE35</f>
        <v>14735.97824874184</v>
      </c>
      <c r="AF39" s="1">
        <f>(AF5/(AF23*AF22*(AF28+AF29*AF21)*AF8*(1/AF34)*AF11))*AF35</f>
        <v>25.766910537800019</v>
      </c>
      <c r="AG39" s="1" t="e">
        <f>(AG5/(AG24*AG20*AG8*AG11*(1/AG42)*(AG28+(AG29*AG30))*AG36))*AG35</f>
        <v>#DIV/0!</v>
      </c>
      <c r="BK39" s="429"/>
      <c r="BL39" s="429"/>
      <c r="BM39" s="429"/>
      <c r="BN39" s="429"/>
      <c r="BO39" s="429"/>
      <c r="BT39" s="7"/>
      <c r="BU39" s="2"/>
      <c r="CT39" t="s">
        <v>155</v>
      </c>
      <c r="CU39">
        <v>12.167999999999999</v>
      </c>
      <c r="CV39" t="s">
        <v>117</v>
      </c>
      <c r="CZ39" t="s">
        <v>229</v>
      </c>
      <c r="DA39">
        <v>1</v>
      </c>
      <c r="DB39" t="s">
        <v>119</v>
      </c>
      <c r="DY39" s="413"/>
      <c r="HD39" t="s">
        <v>180</v>
      </c>
      <c r="HE39" s="4">
        <v>55</v>
      </c>
      <c r="HF39" t="s">
        <v>176</v>
      </c>
    </row>
    <row r="40" spans="1:214" ht="15" customHeight="1" thickTop="1" x14ac:dyDescent="0.2">
      <c r="A40" t="s">
        <v>396</v>
      </c>
      <c r="B40" s="410">
        <f>B36</f>
        <v>0</v>
      </c>
      <c r="D40" s="104" t="s">
        <v>3</v>
      </c>
      <c r="E40" s="104"/>
      <c r="F40" s="105" t="s">
        <v>0</v>
      </c>
      <c r="H40">
        <f>1/1000</f>
        <v>1E-3</v>
      </c>
      <c r="I40" t="s">
        <v>154</v>
      </c>
      <c r="J40" t="s">
        <v>158</v>
      </c>
      <c r="K40">
        <v>16.416</v>
      </c>
      <c r="L40" t="s">
        <v>117</v>
      </c>
      <c r="V40" t="s">
        <v>477</v>
      </c>
      <c r="W40" s="1">
        <f>(W26*W27*W30)/((W32/W33)*(1-EXP(-W27*W30))*W35*W29*W30*(1/365))</f>
        <v>29710.174717368955</v>
      </c>
      <c r="X40" t="s">
        <v>37</v>
      </c>
      <c r="Y40" t="s">
        <v>477</v>
      </c>
      <c r="Z40" s="1">
        <f>Z26/(Z35*Z29*(1/Z44)*Z43*(Z32/Z33)*Z36)</f>
        <v>6619.9141527114434</v>
      </c>
      <c r="AA40" t="s">
        <v>36</v>
      </c>
      <c r="AB40" t="s">
        <v>148</v>
      </c>
      <c r="AC40" s="1">
        <f>B30</f>
        <v>1359344473.5814338</v>
      </c>
      <c r="AD40" s="1">
        <f>B30</f>
        <v>1359344473.5814338</v>
      </c>
      <c r="AE40" s="1">
        <f>B30</f>
        <v>1359344473.5814338</v>
      </c>
      <c r="AG40" s="1">
        <f>(AG5/(AG23*AG22*(AG28+AG29*AG21)*AG8*(1/AG34)*AG11))*AG35</f>
        <v>25.766910537800019</v>
      </c>
      <c r="BT40" s="7"/>
      <c r="BU40" s="2"/>
      <c r="CT40" t="s">
        <v>158</v>
      </c>
      <c r="CU40">
        <v>10.007999999999999</v>
      </c>
      <c r="CV40" t="s">
        <v>117</v>
      </c>
      <c r="CZ40" t="s">
        <v>409</v>
      </c>
      <c r="DA40">
        <v>24</v>
      </c>
      <c r="DB40" t="s">
        <v>80</v>
      </c>
      <c r="DY40" s="413"/>
      <c r="HD40" t="s">
        <v>181</v>
      </c>
      <c r="HE40" s="4">
        <v>5</v>
      </c>
      <c r="HF40" t="s">
        <v>176</v>
      </c>
    </row>
    <row r="41" spans="1:214" ht="14.25" x14ac:dyDescent="0.2">
      <c r="A41" t="s">
        <v>395</v>
      </c>
      <c r="B41" s="410">
        <f>B37</f>
        <v>0</v>
      </c>
      <c r="D41" s="107" t="s">
        <v>150</v>
      </c>
      <c r="E41" s="107" t="s">
        <v>456</v>
      </c>
      <c r="F41" s="108" t="s">
        <v>24</v>
      </c>
      <c r="H41">
        <v>1000</v>
      </c>
      <c r="I41" t="s">
        <v>157</v>
      </c>
      <c r="J41" t="s">
        <v>161</v>
      </c>
      <c r="K41">
        <v>0.4</v>
      </c>
      <c r="Y41" t="s">
        <v>378</v>
      </c>
      <c r="Z41">
        <v>50</v>
      </c>
      <c r="AA41" t="s">
        <v>194</v>
      </c>
      <c r="AB41" s="5" t="s">
        <v>184</v>
      </c>
      <c r="AF41" s="6">
        <f>B31</f>
        <v>776129.4078035407</v>
      </c>
      <c r="AH41" s="5" t="s">
        <v>149</v>
      </c>
      <c r="BT41" s="1"/>
      <c r="CT41" t="s">
        <v>161</v>
      </c>
      <c r="CU41">
        <v>0.4</v>
      </c>
      <c r="CZ41" t="s">
        <v>410</v>
      </c>
      <c r="DA41">
        <v>24</v>
      </c>
      <c r="DB41" t="s">
        <v>80</v>
      </c>
      <c r="DY41" s="413"/>
      <c r="HD41" t="s">
        <v>182</v>
      </c>
      <c r="HE41" s="4">
        <v>5</v>
      </c>
      <c r="HF41" t="s">
        <v>176</v>
      </c>
    </row>
    <row r="42" spans="1:214" ht="13.9" customHeight="1" x14ac:dyDescent="0.2">
      <c r="A42" t="s">
        <v>63</v>
      </c>
      <c r="B42" s="410">
        <v>0</v>
      </c>
      <c r="D42" s="107" t="s">
        <v>177</v>
      </c>
      <c r="E42" s="109" t="e">
        <f>E52</f>
        <v>#DIV/0!</v>
      </c>
      <c r="F42" s="110"/>
      <c r="H42">
        <v>1000</v>
      </c>
      <c r="I42" t="s">
        <v>376</v>
      </c>
      <c r="J42" t="s">
        <v>466</v>
      </c>
      <c r="K42">
        <v>0.4</v>
      </c>
      <c r="Y42" t="s">
        <v>377</v>
      </c>
      <c r="Z42">
        <v>5</v>
      </c>
      <c r="AA42" t="s">
        <v>297</v>
      </c>
      <c r="AB42" s="5" t="s">
        <v>185</v>
      </c>
      <c r="AF42" s="5"/>
      <c r="AG42" s="6">
        <f>B32</f>
        <v>69557565.807898715</v>
      </c>
      <c r="AH42" s="5"/>
      <c r="AI42" s="5"/>
      <c r="AJ42" s="5"/>
      <c r="AK42" s="5"/>
      <c r="CT42" t="s">
        <v>466</v>
      </c>
      <c r="CU42">
        <v>0.4</v>
      </c>
      <c r="CZ42" t="s">
        <v>151</v>
      </c>
      <c r="DA42">
        <v>1</v>
      </c>
      <c r="DB42" t="s">
        <v>248</v>
      </c>
    </row>
    <row r="43" spans="1:214" ht="13.15" customHeight="1" thickBot="1" x14ac:dyDescent="0.25">
      <c r="A43" t="s">
        <v>64</v>
      </c>
      <c r="B43" s="410">
        <v>0</v>
      </c>
      <c r="D43" s="419" t="s">
        <v>10</v>
      </c>
      <c r="E43" s="112" t="s">
        <v>33</v>
      </c>
      <c r="F43" s="113"/>
      <c r="G43" t="s">
        <v>369</v>
      </c>
      <c r="H43">
        <v>0.25</v>
      </c>
      <c r="J43" t="s">
        <v>465</v>
      </c>
      <c r="K43" s="1">
        <f>B2</f>
        <v>6.8000000000000005E-2</v>
      </c>
      <c r="Y43" t="s">
        <v>298</v>
      </c>
      <c r="Z43">
        <v>1</v>
      </c>
      <c r="AA43" t="s">
        <v>253</v>
      </c>
      <c r="AF43" s="429" t="s">
        <v>392</v>
      </c>
      <c r="AG43" s="429"/>
      <c r="AH43" s="429"/>
      <c r="AI43" s="5"/>
      <c r="AJ43" s="5"/>
      <c r="AK43" s="5"/>
      <c r="BT43" s="1"/>
      <c r="CT43" t="s">
        <v>465</v>
      </c>
      <c r="CU43" s="1">
        <f>B2</f>
        <v>6.8000000000000005E-2</v>
      </c>
      <c r="CZ43" t="s">
        <v>153</v>
      </c>
      <c r="DA43">
        <v>1</v>
      </c>
      <c r="DB43" t="s">
        <v>248</v>
      </c>
    </row>
    <row r="44" spans="1:214" ht="13.5" thickTop="1" x14ac:dyDescent="0.2">
      <c r="D44" t="s">
        <v>485</v>
      </c>
      <c r="E44" s="1">
        <v>1</v>
      </c>
      <c r="H44">
        <v>365</v>
      </c>
      <c r="I44" t="s">
        <v>52</v>
      </c>
      <c r="J44" t="s">
        <v>105</v>
      </c>
      <c r="K44" s="1">
        <f>B3</f>
        <v>0.75600000000000001</v>
      </c>
      <c r="Z44">
        <v>365</v>
      </c>
      <c r="AA44" t="s">
        <v>145</v>
      </c>
      <c r="AF44" s="429"/>
      <c r="AG44" s="429"/>
      <c r="AH44" s="429"/>
      <c r="CT44" t="s">
        <v>105</v>
      </c>
      <c r="CU44" s="1">
        <f>B3</f>
        <v>0.75600000000000001</v>
      </c>
      <c r="CZ44" t="s">
        <v>249</v>
      </c>
      <c r="DA44">
        <v>0.54</v>
      </c>
      <c r="DB44" t="s">
        <v>251</v>
      </c>
    </row>
    <row r="45" spans="1:214" ht="12.75" customHeight="1" x14ac:dyDescent="0.2">
      <c r="A45" t="s">
        <v>87</v>
      </c>
      <c r="B45" s="411">
        <v>10</v>
      </c>
      <c r="C45" t="s">
        <v>78</v>
      </c>
      <c r="D45" t="s">
        <v>51</v>
      </c>
      <c r="E45">
        <v>350</v>
      </c>
      <c r="F45" t="s">
        <v>52</v>
      </c>
      <c r="H45">
        <v>8760</v>
      </c>
      <c r="I45" t="s">
        <v>237</v>
      </c>
      <c r="J45" t="s">
        <v>169</v>
      </c>
      <c r="K45">
        <v>26</v>
      </c>
      <c r="L45" t="s">
        <v>88</v>
      </c>
      <c r="AB45" s="5"/>
      <c r="AC45" s="5"/>
      <c r="AF45" s="429"/>
      <c r="AG45" s="429"/>
      <c r="AH45" s="429"/>
      <c r="AI45" s="5"/>
      <c r="AJ45" s="5"/>
      <c r="AK45" s="5"/>
      <c r="CT45" t="s">
        <v>299</v>
      </c>
      <c r="CU45">
        <v>40</v>
      </c>
      <c r="CV45" t="s">
        <v>88</v>
      </c>
      <c r="CZ45" t="s">
        <v>250</v>
      </c>
      <c r="DA45">
        <v>0.71</v>
      </c>
      <c r="DB45" t="s">
        <v>251</v>
      </c>
    </row>
    <row r="46" spans="1:214" x14ac:dyDescent="0.2">
      <c r="A46" t="s">
        <v>95</v>
      </c>
      <c r="B46" s="411">
        <v>20</v>
      </c>
      <c r="C46" t="s">
        <v>78</v>
      </c>
      <c r="D46" t="s">
        <v>447</v>
      </c>
      <c r="E46" s="1">
        <f>B28</f>
        <v>0</v>
      </c>
      <c r="F46" t="s">
        <v>160</v>
      </c>
      <c r="G46" t="s">
        <v>46</v>
      </c>
      <c r="H46">
        <f>H48</f>
        <v>0</v>
      </c>
      <c r="K46">
        <v>365</v>
      </c>
      <c r="L46" t="s">
        <v>173</v>
      </c>
      <c r="AB46" s="5"/>
      <c r="AC46" s="9"/>
      <c r="AI46" s="5"/>
      <c r="AJ46" s="5"/>
      <c r="AK46" s="5"/>
      <c r="CU46">
        <v>365</v>
      </c>
      <c r="CV46" t="s">
        <v>173</v>
      </c>
      <c r="DA46">
        <v>365</v>
      </c>
      <c r="DB46" t="s">
        <v>245</v>
      </c>
    </row>
    <row r="47" spans="1:214" ht="15" x14ac:dyDescent="0.2">
      <c r="A47" t="s">
        <v>96</v>
      </c>
      <c r="B47" s="411">
        <v>60</v>
      </c>
      <c r="C47" t="s">
        <v>78</v>
      </c>
      <c r="D47" t="s">
        <v>65</v>
      </c>
      <c r="E47">
        <v>26</v>
      </c>
      <c r="F47" t="s">
        <v>119</v>
      </c>
      <c r="G47" t="s">
        <v>54</v>
      </c>
      <c r="H47">
        <f>H49</f>
        <v>0.26</v>
      </c>
      <c r="K47">
        <v>1000</v>
      </c>
      <c r="L47" t="s">
        <v>179</v>
      </c>
      <c r="W47" s="7"/>
      <c r="X47" s="2"/>
      <c r="Y47" s="2"/>
      <c r="Z47" s="2"/>
      <c r="AA47" s="2"/>
      <c r="AB47" s="5"/>
      <c r="AC47" s="5"/>
      <c r="AD47" s="5"/>
      <c r="AI47" s="5"/>
      <c r="AJ47" s="5"/>
      <c r="AK47" s="5"/>
      <c r="CU47">
        <v>1000</v>
      </c>
      <c r="CV47" t="s">
        <v>179</v>
      </c>
      <c r="CZ47" t="s">
        <v>131</v>
      </c>
      <c r="DA47">
        <v>0.5</v>
      </c>
      <c r="DB47" t="s">
        <v>252</v>
      </c>
    </row>
    <row r="48" spans="1:214" x14ac:dyDescent="0.2">
      <c r="A48" t="s">
        <v>108</v>
      </c>
      <c r="B48" s="411">
        <v>200</v>
      </c>
      <c r="C48" t="s">
        <v>90</v>
      </c>
      <c r="D48" t="s">
        <v>162</v>
      </c>
      <c r="E48">
        <f>B55</f>
        <v>28.5</v>
      </c>
      <c r="F48" t="s">
        <v>90</v>
      </c>
      <c r="G48" t="s">
        <v>63</v>
      </c>
      <c r="H48">
        <f>B40</f>
        <v>0</v>
      </c>
      <c r="K48">
        <v>1000</v>
      </c>
      <c r="L48" t="s">
        <v>50</v>
      </c>
      <c r="W48" s="7"/>
      <c r="X48" s="2"/>
      <c r="Y48" s="2"/>
      <c r="Z48" s="2"/>
      <c r="AA48" s="2"/>
      <c r="AB48" s="5"/>
      <c r="AC48" s="5"/>
      <c r="AF48" s="8"/>
      <c r="AG48" s="5"/>
      <c r="AH48" s="5"/>
      <c r="AI48" s="5"/>
      <c r="AJ48" s="5"/>
      <c r="AK48" s="5"/>
      <c r="CU48">
        <v>1000</v>
      </c>
      <c r="CV48" t="s">
        <v>50</v>
      </c>
      <c r="DA48">
        <v>1</v>
      </c>
      <c r="DB48" t="s">
        <v>253</v>
      </c>
    </row>
    <row r="49" spans="1:106" x14ac:dyDescent="0.2">
      <c r="A49" t="s">
        <v>127</v>
      </c>
      <c r="B49" s="411">
        <v>100</v>
      </c>
      <c r="C49" t="s">
        <v>90</v>
      </c>
      <c r="E49">
        <v>1000</v>
      </c>
      <c r="F49" t="s">
        <v>179</v>
      </c>
      <c r="G49" t="s">
        <v>70</v>
      </c>
      <c r="H49">
        <v>0.26</v>
      </c>
      <c r="J49" t="s">
        <v>46</v>
      </c>
      <c r="K49">
        <f>K51</f>
        <v>0</v>
      </c>
      <c r="W49" s="1"/>
      <c r="AB49" s="5"/>
      <c r="AC49" s="5"/>
      <c r="AF49" s="8"/>
      <c r="AG49" s="5"/>
      <c r="AH49" s="5"/>
      <c r="AI49" s="5"/>
      <c r="AJ49" s="5"/>
      <c r="AK49" s="5"/>
      <c r="BT49" s="1"/>
      <c r="CT49" t="s">
        <v>433</v>
      </c>
      <c r="CU49" s="1">
        <f>B61</f>
        <v>0.15</v>
      </c>
      <c r="DA49">
        <v>8760</v>
      </c>
      <c r="DB49" t="s">
        <v>237</v>
      </c>
    </row>
    <row r="50" spans="1:106" x14ac:dyDescent="0.2">
      <c r="A50" t="s">
        <v>414</v>
      </c>
      <c r="B50" s="411">
        <v>0.78</v>
      </c>
      <c r="D50" t="s">
        <v>186</v>
      </c>
      <c r="E50">
        <f>B34</f>
        <v>0</v>
      </c>
      <c r="F50" t="s">
        <v>45</v>
      </c>
      <c r="G50" t="s">
        <v>44</v>
      </c>
      <c r="H50" s="1">
        <f>(H53*H54*H55*((1-EXP(-H56*H57))))/(H58*H56)</f>
        <v>0</v>
      </c>
      <c r="I50" t="s">
        <v>45</v>
      </c>
      <c r="J50" t="s">
        <v>54</v>
      </c>
      <c r="K50">
        <f>K52</f>
        <v>0.26</v>
      </c>
      <c r="W50" s="1"/>
      <c r="AB50" s="5"/>
      <c r="AC50" s="5"/>
      <c r="AF50" s="8"/>
      <c r="AG50" s="5"/>
      <c r="AH50" s="5"/>
      <c r="AI50" s="5"/>
      <c r="AJ50" s="5"/>
      <c r="AK50" s="5"/>
      <c r="BW50" s="1"/>
      <c r="CT50" t="s">
        <v>432</v>
      </c>
      <c r="CU50" s="1">
        <f>B62</f>
        <v>0.85</v>
      </c>
      <c r="DA50">
        <v>1000</v>
      </c>
      <c r="DB50" t="s">
        <v>179</v>
      </c>
    </row>
    <row r="51" spans="1:106" x14ac:dyDescent="0.2">
      <c r="A51" t="s">
        <v>415</v>
      </c>
      <c r="B51" s="411">
        <v>2.5</v>
      </c>
      <c r="D51" t="s">
        <v>188</v>
      </c>
      <c r="E51">
        <v>1</v>
      </c>
      <c r="F51" t="s">
        <v>189</v>
      </c>
      <c r="G51" t="s">
        <v>53</v>
      </c>
      <c r="H51" s="1">
        <f>(H53*H54*H59*((1-EXP(-H56*H57))))/(H58*H56)</f>
        <v>5.4035127681958941E-3</v>
      </c>
      <c r="I51" t="s">
        <v>45</v>
      </c>
      <c r="J51" t="s">
        <v>63</v>
      </c>
      <c r="K51">
        <f>B40</f>
        <v>0</v>
      </c>
      <c r="AB51" s="5"/>
      <c r="AC51" s="5"/>
      <c r="AF51" s="8"/>
      <c r="AG51" s="5"/>
      <c r="BW51" s="1"/>
      <c r="CZ51" t="s">
        <v>433</v>
      </c>
      <c r="DA51" s="1">
        <f>B61</f>
        <v>0.15</v>
      </c>
    </row>
    <row r="52" spans="1:106" x14ac:dyDescent="0.2">
      <c r="A52" t="s">
        <v>374</v>
      </c>
      <c r="B52" s="410">
        <v>14.8</v>
      </c>
      <c r="C52" t="s">
        <v>380</v>
      </c>
      <c r="D52" t="s">
        <v>451</v>
      </c>
      <c r="E52" s="1" t="e">
        <f>E44/(E46*E45*E47*E48*E50*E51*(1/E49))</f>
        <v>#DIV/0!</v>
      </c>
      <c r="G52" t="s">
        <v>62</v>
      </c>
      <c r="H52" s="1">
        <f>(H53*H54*H60*H66*((1-EXP(-H61*H62))))/(H63*H61)</f>
        <v>0.82303427313698274</v>
      </c>
      <c r="I52" t="s">
        <v>45</v>
      </c>
      <c r="J52" t="s">
        <v>70</v>
      </c>
      <c r="K52">
        <v>0.26</v>
      </c>
      <c r="AB52" s="5"/>
      <c r="AC52" s="5"/>
      <c r="AF52" s="8"/>
      <c r="AG52" s="5"/>
      <c r="BW52" s="1"/>
      <c r="CZ52" t="s">
        <v>432</v>
      </c>
      <c r="DA52" s="1">
        <f>B62</f>
        <v>0.85</v>
      </c>
    </row>
    <row r="53" spans="1:106" x14ac:dyDescent="0.2">
      <c r="A53" t="s">
        <v>375</v>
      </c>
      <c r="B53" s="410">
        <v>56.2</v>
      </c>
      <c r="C53" t="s">
        <v>380</v>
      </c>
      <c r="G53" t="s">
        <v>68</v>
      </c>
      <c r="H53">
        <v>3.62</v>
      </c>
      <c r="I53" t="s">
        <v>69</v>
      </c>
      <c r="J53" t="s">
        <v>435</v>
      </c>
      <c r="K53" s="1">
        <f>B59</f>
        <v>0.23076923076923078</v>
      </c>
      <c r="W53" s="1"/>
      <c r="AB53" s="5"/>
      <c r="AC53" s="5"/>
      <c r="AF53" s="8"/>
      <c r="AG53" s="5"/>
    </row>
    <row r="54" spans="1:106" x14ac:dyDescent="0.2">
      <c r="A54" t="s">
        <v>370</v>
      </c>
      <c r="B54" s="410">
        <v>10.4</v>
      </c>
      <c r="C54" t="s">
        <v>380</v>
      </c>
      <c r="G54" t="s">
        <v>74</v>
      </c>
      <c r="H54">
        <v>0.25</v>
      </c>
      <c r="I54" t="s">
        <v>75</v>
      </c>
      <c r="J54" t="s">
        <v>434</v>
      </c>
      <c r="K54" s="1">
        <f>B60</f>
        <v>0.76923076923076927</v>
      </c>
      <c r="AB54" s="5"/>
      <c r="AC54" s="5"/>
      <c r="AF54" s="8"/>
      <c r="AG54" s="5"/>
    </row>
    <row r="55" spans="1:106" x14ac:dyDescent="0.2">
      <c r="A55" t="s">
        <v>371</v>
      </c>
      <c r="B55" s="410">
        <v>28.5</v>
      </c>
      <c r="C55" t="s">
        <v>380</v>
      </c>
      <c r="G55" t="s">
        <v>63</v>
      </c>
      <c r="H55">
        <f>B40</f>
        <v>0</v>
      </c>
      <c r="AB55" s="5"/>
      <c r="AC55" s="5"/>
      <c r="AD55" s="5"/>
      <c r="AF55" s="8"/>
      <c r="AG55" s="5"/>
      <c r="AH55" s="5"/>
      <c r="AI55" s="5"/>
      <c r="AJ55" s="5"/>
      <c r="AK55" s="5"/>
    </row>
    <row r="56" spans="1:106" x14ac:dyDescent="0.2">
      <c r="A56" t="s">
        <v>162</v>
      </c>
      <c r="B56" s="411">
        <v>54</v>
      </c>
      <c r="C56" t="s">
        <v>90</v>
      </c>
      <c r="G56" t="s">
        <v>92</v>
      </c>
      <c r="H56">
        <f>H64+H65</f>
        <v>0.18144061256544503</v>
      </c>
      <c r="AB56" s="5"/>
      <c r="AC56" s="5"/>
      <c r="AD56" s="5"/>
      <c r="AF56" s="8"/>
      <c r="AG56" s="5"/>
      <c r="AH56" s="5"/>
      <c r="AI56" s="5"/>
      <c r="AJ56" s="5"/>
      <c r="AK56" s="5"/>
    </row>
    <row r="57" spans="1:106" x14ac:dyDescent="0.2">
      <c r="A57" t="s">
        <v>254</v>
      </c>
      <c r="B57" s="411">
        <v>256</v>
      </c>
      <c r="C57" t="s">
        <v>380</v>
      </c>
      <c r="G57" t="s">
        <v>101</v>
      </c>
      <c r="H57">
        <v>10950</v>
      </c>
      <c r="I57" t="s">
        <v>102</v>
      </c>
      <c r="AB57" s="5"/>
      <c r="AC57" s="5"/>
      <c r="AD57" s="5"/>
      <c r="AF57" s="8"/>
      <c r="AG57" s="5"/>
      <c r="AH57" s="5"/>
      <c r="AI57" s="5"/>
      <c r="AJ57" s="5"/>
      <c r="AK57" s="5"/>
    </row>
    <row r="58" spans="1:106" x14ac:dyDescent="0.2">
      <c r="A58" t="s">
        <v>255</v>
      </c>
      <c r="B58" s="411">
        <v>615</v>
      </c>
      <c r="C58" t="s">
        <v>380</v>
      </c>
      <c r="G58" t="s">
        <v>110</v>
      </c>
      <c r="H58">
        <v>240</v>
      </c>
      <c r="I58" t="s">
        <v>111</v>
      </c>
      <c r="AB58" s="5"/>
      <c r="AC58" s="5"/>
      <c r="AF58" s="8"/>
      <c r="AG58" s="5"/>
      <c r="AH58" s="5"/>
      <c r="AI58" s="5"/>
      <c r="AJ58" s="5"/>
      <c r="AK58" s="5"/>
    </row>
    <row r="59" spans="1:106" x14ac:dyDescent="0.2">
      <c r="A59" t="s">
        <v>435</v>
      </c>
      <c r="B59" s="410">
        <f>6/26</f>
        <v>0.23076923076923078</v>
      </c>
      <c r="G59" t="s">
        <v>120</v>
      </c>
      <c r="H59">
        <v>0.26</v>
      </c>
      <c r="AB59" s="5"/>
      <c r="AC59" s="5"/>
      <c r="AF59" s="5"/>
      <c r="AG59" s="5"/>
      <c r="AH59" s="5"/>
      <c r="AI59" s="5"/>
      <c r="AJ59" s="5"/>
      <c r="AK59" s="5"/>
    </row>
    <row r="60" spans="1:106" x14ac:dyDescent="0.2">
      <c r="A60" t="s">
        <v>434</v>
      </c>
      <c r="B60" s="410">
        <f>20/26</f>
        <v>0.76923076923076927</v>
      </c>
      <c r="G60" t="s">
        <v>125</v>
      </c>
      <c r="H60">
        <v>0.42</v>
      </c>
      <c r="I60" t="s">
        <v>75</v>
      </c>
      <c r="AB60" s="5"/>
      <c r="AC60" s="5"/>
      <c r="AF60" s="5"/>
      <c r="AG60" s="5"/>
      <c r="AH60" s="5"/>
      <c r="AI60" s="5"/>
      <c r="AJ60" s="5"/>
      <c r="AK60" s="5"/>
    </row>
    <row r="61" spans="1:106" x14ac:dyDescent="0.2">
      <c r="A61" t="s">
        <v>433</v>
      </c>
      <c r="B61" s="410">
        <f>6/40</f>
        <v>0.15</v>
      </c>
      <c r="G61" t="s">
        <v>129</v>
      </c>
      <c r="H61">
        <f>H65+(0.693/H67)</f>
        <v>0.23091361256544501</v>
      </c>
      <c r="I61" t="s">
        <v>130</v>
      </c>
      <c r="AB61" s="5"/>
      <c r="AC61" s="5"/>
      <c r="AD61" s="5"/>
      <c r="AF61" s="5"/>
      <c r="AG61" s="5"/>
      <c r="AH61" s="5"/>
      <c r="AI61" s="5"/>
      <c r="AJ61" s="5"/>
      <c r="AK61" s="5"/>
      <c r="DA61" s="1"/>
    </row>
    <row r="62" spans="1:106" x14ac:dyDescent="0.2">
      <c r="A62" t="s">
        <v>432</v>
      </c>
      <c r="B62" s="410">
        <f>34/40</f>
        <v>0.85</v>
      </c>
      <c r="G62" t="s">
        <v>133</v>
      </c>
      <c r="H62">
        <v>60</v>
      </c>
      <c r="I62" t="s">
        <v>102</v>
      </c>
      <c r="AB62" s="5"/>
      <c r="AC62" s="5"/>
      <c r="AD62" s="5"/>
      <c r="AF62" s="8"/>
      <c r="AG62" s="5"/>
      <c r="AH62" s="5"/>
      <c r="AI62" s="5"/>
      <c r="AJ62" s="5"/>
      <c r="AK62" s="5"/>
    </row>
    <row r="63" spans="1:106" x14ac:dyDescent="0.2">
      <c r="G63" t="s">
        <v>135</v>
      </c>
      <c r="H63">
        <v>2</v>
      </c>
      <c r="I63" t="s">
        <v>111</v>
      </c>
      <c r="AB63" s="5"/>
      <c r="AC63" s="5"/>
      <c r="AD63" s="5"/>
      <c r="AF63" s="8"/>
      <c r="AG63" s="5"/>
      <c r="AH63" s="5"/>
      <c r="AI63" s="5"/>
      <c r="AJ63" s="5"/>
      <c r="AK63" s="5"/>
    </row>
    <row r="64" spans="1:106" x14ac:dyDescent="0.2">
      <c r="G64" t="s">
        <v>137</v>
      </c>
      <c r="H64">
        <v>2.6999999999999999E-5</v>
      </c>
      <c r="I64" t="s">
        <v>130</v>
      </c>
      <c r="AB64" s="5"/>
      <c r="AC64" s="5"/>
      <c r="AD64" s="5"/>
      <c r="AF64" s="8"/>
      <c r="AG64" s="5"/>
      <c r="AH64" s="5"/>
      <c r="AI64" s="5"/>
      <c r="AJ64" s="5"/>
      <c r="AK64" s="5"/>
    </row>
    <row r="65" spans="7:105" x14ac:dyDescent="0.2">
      <c r="G65" t="s">
        <v>138</v>
      </c>
      <c r="H65">
        <f>0.693/H69</f>
        <v>0.18141361256544503</v>
      </c>
      <c r="I65" t="s">
        <v>130</v>
      </c>
      <c r="AB65" s="5"/>
      <c r="AC65" s="5"/>
      <c r="AD65" s="5"/>
      <c r="AF65" s="8"/>
      <c r="AG65" s="5"/>
      <c r="AH65" s="5"/>
      <c r="AI65" s="5"/>
      <c r="AJ65" s="5"/>
      <c r="AK65" s="5"/>
    </row>
    <row r="66" spans="7:105" x14ac:dyDescent="0.2">
      <c r="G66" t="s">
        <v>140</v>
      </c>
      <c r="H66">
        <v>1</v>
      </c>
      <c r="I66" t="s">
        <v>75</v>
      </c>
      <c r="AB66" s="5"/>
      <c r="AC66" s="5"/>
      <c r="AD66" s="5"/>
      <c r="AF66" s="8"/>
      <c r="AG66" s="5"/>
      <c r="AH66" s="5"/>
      <c r="AI66" s="5"/>
      <c r="AJ66" s="5"/>
      <c r="AK66" s="5"/>
      <c r="DA66" s="1"/>
    </row>
    <row r="67" spans="7:105" x14ac:dyDescent="0.2">
      <c r="G67" t="s">
        <v>144</v>
      </c>
      <c r="H67">
        <v>14</v>
      </c>
      <c r="I67" t="s">
        <v>145</v>
      </c>
      <c r="AB67" s="5"/>
      <c r="AC67" s="10"/>
      <c r="AD67" s="5"/>
      <c r="AF67" s="8"/>
      <c r="AG67" s="5"/>
      <c r="AH67" s="5"/>
      <c r="AI67" s="5"/>
      <c r="AJ67" s="5"/>
      <c r="AK67" s="5"/>
    </row>
    <row r="68" spans="7:105" x14ac:dyDescent="0.2">
      <c r="G68" t="s">
        <v>64</v>
      </c>
      <c r="H68">
        <f>B41</f>
        <v>0</v>
      </c>
      <c r="AB68" s="5"/>
      <c r="AC68" s="11"/>
      <c r="AD68" s="5"/>
      <c r="AF68" s="8"/>
      <c r="AG68" s="5"/>
      <c r="AH68" s="5"/>
      <c r="AI68" s="5"/>
      <c r="AJ68" s="5"/>
      <c r="AK68" s="5"/>
    </row>
    <row r="69" spans="7:105" x14ac:dyDescent="0.2">
      <c r="G69" t="s">
        <v>416</v>
      </c>
      <c r="H69" s="1">
        <f>B33</f>
        <v>3.82</v>
      </c>
      <c r="I69" t="s">
        <v>381</v>
      </c>
      <c r="AF69" s="12"/>
      <c r="AG69" s="5"/>
      <c r="AH69" s="5"/>
      <c r="AI69" s="5"/>
      <c r="AJ69" s="5"/>
      <c r="AK69" s="5"/>
      <c r="BW69" s="1"/>
    </row>
    <row r="70" spans="7:105" x14ac:dyDescent="0.2">
      <c r="G70" t="s">
        <v>435</v>
      </c>
      <c r="H70" s="1">
        <f>B59</f>
        <v>0.23076923076923078</v>
      </c>
      <c r="AF70" s="8"/>
      <c r="AG70" s="5"/>
      <c r="AH70" s="5"/>
      <c r="AI70" s="5"/>
      <c r="AJ70" s="5"/>
      <c r="AK70" s="5"/>
    </row>
    <row r="71" spans="7:105" x14ac:dyDescent="0.2">
      <c r="G71" t="s">
        <v>434</v>
      </c>
      <c r="H71" s="1">
        <f>B60</f>
        <v>0.76923076923076927</v>
      </c>
      <c r="AF71" s="13"/>
      <c r="AG71" s="5"/>
      <c r="AH71" s="5"/>
      <c r="AI71" s="5"/>
      <c r="AJ71" s="5"/>
      <c r="AK71" s="5"/>
    </row>
    <row r="72" spans="7:105" x14ac:dyDescent="0.2">
      <c r="AF72" s="8"/>
      <c r="AG72" s="5"/>
      <c r="AH72" s="5"/>
      <c r="AI72" s="5"/>
      <c r="AJ72" s="5"/>
      <c r="AK72" s="5"/>
    </row>
    <row r="73" spans="7:105" x14ac:dyDescent="0.2">
      <c r="AF73" s="8"/>
      <c r="AG73" s="5"/>
      <c r="AH73" s="5"/>
      <c r="AI73" s="5"/>
      <c r="AJ73" s="5"/>
      <c r="AK73" s="5"/>
    </row>
    <row r="74" spans="7:105" x14ac:dyDescent="0.2">
      <c r="AF74" s="8"/>
      <c r="AG74" s="5"/>
      <c r="AH74" s="5"/>
      <c r="AI74" s="5"/>
      <c r="AJ74" s="5"/>
      <c r="AK74" s="5"/>
    </row>
    <row r="75" spans="7:105" x14ac:dyDescent="0.2">
      <c r="AF75" s="5"/>
      <c r="AG75" s="5"/>
      <c r="AH75" s="5"/>
      <c r="AI75" s="5"/>
      <c r="AJ75" s="5"/>
      <c r="AK75" s="5"/>
    </row>
    <row r="76" spans="7:105" x14ac:dyDescent="0.2">
      <c r="AF76" s="8"/>
      <c r="AG76" s="5"/>
      <c r="AH76" s="5"/>
      <c r="AI76" s="5"/>
      <c r="AJ76" s="5"/>
      <c r="AK76" s="5"/>
    </row>
    <row r="77" spans="7:105" x14ac:dyDescent="0.2">
      <c r="AF77" s="8"/>
      <c r="AG77" s="5"/>
      <c r="AH77" s="5"/>
      <c r="AI77" s="5"/>
      <c r="AJ77" s="5"/>
      <c r="AK77" s="5"/>
    </row>
    <row r="78" spans="7:105" ht="12.75" customHeight="1" x14ac:dyDescent="0.2">
      <c r="AF78" s="8"/>
      <c r="AG78" s="5"/>
    </row>
    <row r="79" spans="7:105" x14ac:dyDescent="0.2">
      <c r="AF79" s="8"/>
      <c r="AG79" s="5"/>
      <c r="AH79" s="5"/>
      <c r="AI79" s="5"/>
      <c r="AJ79" s="5"/>
      <c r="AK79" s="5"/>
    </row>
    <row r="80" spans="7:105" x14ac:dyDescent="0.2">
      <c r="AF80" s="8"/>
      <c r="AG80" s="5"/>
      <c r="AH80" s="5"/>
      <c r="AI80" s="5"/>
      <c r="AJ80" s="5"/>
      <c r="AK80" s="5"/>
    </row>
    <row r="81" spans="32:37" x14ac:dyDescent="0.2">
      <c r="AF81" s="8"/>
      <c r="AG81" s="5"/>
      <c r="AH81" s="5"/>
      <c r="AI81" s="5"/>
      <c r="AJ81" s="5"/>
      <c r="AK81" s="5"/>
    </row>
    <row r="82" spans="32:37" x14ac:dyDescent="0.2">
      <c r="AF82" s="8"/>
      <c r="AG82" s="5"/>
      <c r="AH82" s="5"/>
      <c r="AI82" s="5"/>
      <c r="AJ82" s="5"/>
      <c r="AK82" s="5"/>
    </row>
    <row r="83" spans="32:37" x14ac:dyDescent="0.2">
      <c r="AF83" s="5"/>
      <c r="AG83" s="5"/>
    </row>
    <row r="84" spans="32:37" x14ac:dyDescent="0.2">
      <c r="AF84" s="5"/>
      <c r="AG84" s="5"/>
      <c r="AH84" s="5"/>
      <c r="AI84" s="5"/>
      <c r="AJ84" s="5"/>
      <c r="AK84" s="5"/>
    </row>
    <row r="85" spans="32:37" x14ac:dyDescent="0.2">
      <c r="AF85" s="5"/>
      <c r="AG85" s="5"/>
    </row>
    <row r="86" spans="32:37" x14ac:dyDescent="0.2">
      <c r="AH86" s="5"/>
      <c r="AI86" s="5"/>
      <c r="AJ86" s="5"/>
      <c r="AK86" s="5"/>
    </row>
  </sheetData>
  <mergeCells count="6">
    <mergeCell ref="CH34:CL37"/>
    <mergeCell ref="BK36:BO39"/>
    <mergeCell ref="AF43:AH45"/>
    <mergeCell ref="A13:C16"/>
    <mergeCell ref="A1:C1"/>
    <mergeCell ref="A4:C4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9"/>
  <sheetViews>
    <sheetView workbookViewId="0">
      <selection activeCell="A8" sqref="A8"/>
    </sheetView>
  </sheetViews>
  <sheetFormatPr defaultRowHeight="12.75" x14ac:dyDescent="0.2"/>
  <cols>
    <col min="1" max="1" width="10" bestFit="1" customWidth="1"/>
    <col min="2" max="2" width="12" bestFit="1" customWidth="1"/>
    <col min="3" max="3" width="10" bestFit="1" customWidth="1"/>
    <col min="4" max="4" width="12" bestFit="1" customWidth="1"/>
    <col min="5" max="5" width="12.5703125" bestFit="1" customWidth="1"/>
    <col min="6" max="6" width="12.42578125" bestFit="1" customWidth="1"/>
    <col min="7" max="7" width="12" bestFit="1" customWidth="1"/>
    <col min="8" max="8" width="10.28515625" bestFit="1" customWidth="1"/>
    <col min="9" max="9" width="11.42578125" bestFit="1" customWidth="1"/>
    <col min="10" max="10" width="12" bestFit="1" customWidth="1"/>
    <col min="11" max="12" width="10.28515625" bestFit="1" customWidth="1"/>
  </cols>
  <sheetData>
    <row r="1" spans="1:11" ht="41.45" customHeight="1" thickBot="1" x14ac:dyDescent="0.25">
      <c r="A1" s="452" t="s">
        <v>368</v>
      </c>
      <c r="B1" s="452"/>
      <c r="C1" s="353"/>
    </row>
    <row r="2" spans="1:11" ht="13.5" thickTop="1" x14ac:dyDescent="0.2">
      <c r="C2" s="360" t="s">
        <v>325</v>
      </c>
      <c r="D2" s="361"/>
      <c r="E2" s="362"/>
      <c r="F2" s="354" t="s">
        <v>325</v>
      </c>
      <c r="G2" s="355"/>
      <c r="H2" s="356"/>
      <c r="I2" s="348" t="s">
        <v>325</v>
      </c>
      <c r="J2" s="366"/>
      <c r="K2" s="367"/>
    </row>
    <row r="3" spans="1:11" ht="13.5" thickBot="1" x14ac:dyDescent="0.25">
      <c r="C3" s="363" t="s">
        <v>323</v>
      </c>
      <c r="D3" s="364">
        <f>D8*((D13)/(D14*(1-D7)*((D4/D5)^3)*D6))</f>
        <v>1359344473.5814338</v>
      </c>
      <c r="E3" s="365" t="s">
        <v>324</v>
      </c>
      <c r="F3" s="357" t="s">
        <v>387</v>
      </c>
      <c r="G3" s="358">
        <f>G4*(1/G9)*((G5*G6)/((((2.6*(G23/12)^0.8)*((G7/3)^0.4))/((G21/0.2)^0.3))*((365-G22)/365)*281.9*G8))</f>
        <v>776129.4078035407</v>
      </c>
      <c r="H3" s="359"/>
      <c r="I3" s="368" t="s">
        <v>388</v>
      </c>
      <c r="J3" s="376">
        <f>J4*(1/J7)*(1/J8)</f>
        <v>69557565.807898715</v>
      </c>
      <c r="K3" s="369"/>
    </row>
    <row r="4" spans="1:11" ht="13.5" thickTop="1" x14ac:dyDescent="0.2">
      <c r="A4" s="451" t="s">
        <v>367</v>
      </c>
      <c r="B4" s="451"/>
      <c r="C4" s="370" t="s">
        <v>218</v>
      </c>
      <c r="D4" s="349">
        <v>4.6900000000000004</v>
      </c>
      <c r="E4" s="349" t="s">
        <v>219</v>
      </c>
      <c r="F4" s="374" t="s">
        <v>327</v>
      </c>
      <c r="G4" s="349">
        <f>G24*EXP((((LN(G17))-G25)^2)/G26)</f>
        <v>16.403103329458006</v>
      </c>
      <c r="H4" s="349"/>
      <c r="I4" s="374" t="s">
        <v>327</v>
      </c>
      <c r="J4" s="349">
        <f>J43*EXP((((LN(J38))-J44)^2)/J45)</f>
        <v>9.4355742285493491</v>
      </c>
      <c r="K4" s="350"/>
    </row>
    <row r="5" spans="1:11" x14ac:dyDescent="0.2">
      <c r="C5" s="375" t="s">
        <v>220</v>
      </c>
      <c r="D5">
        <v>11.32</v>
      </c>
      <c r="E5" t="s">
        <v>219</v>
      </c>
      <c r="F5" s="381" t="s">
        <v>140</v>
      </c>
      <c r="G5" s="1">
        <f>G20*G13*G27*G32</f>
        <v>7200000</v>
      </c>
      <c r="H5" t="s">
        <v>338</v>
      </c>
      <c r="I5" s="381" t="s">
        <v>140</v>
      </c>
      <c r="J5" s="1">
        <f>J39*J17*J40*J48</f>
        <v>7200000</v>
      </c>
      <c r="K5" s="371" t="s">
        <v>338</v>
      </c>
    </row>
    <row r="6" spans="1:11" x14ac:dyDescent="0.2">
      <c r="C6" s="375" t="s">
        <v>217</v>
      </c>
      <c r="D6">
        <v>0.19400000000000001</v>
      </c>
      <c r="E6" t="s">
        <v>75</v>
      </c>
      <c r="F6" s="381" t="s">
        <v>328</v>
      </c>
      <c r="G6">
        <f>G11*G14*G30</f>
        <v>867.14059713578104</v>
      </c>
      <c r="H6" t="s">
        <v>329</v>
      </c>
      <c r="I6" s="381" t="s">
        <v>332</v>
      </c>
      <c r="J6">
        <f>J39*J41*J46*J47</f>
        <v>8400</v>
      </c>
      <c r="K6" s="371" t="s">
        <v>339</v>
      </c>
    </row>
    <row r="7" spans="1:11" x14ac:dyDescent="0.2">
      <c r="B7" s="371"/>
      <c r="C7" s="375" t="s">
        <v>210</v>
      </c>
      <c r="D7">
        <v>0.5</v>
      </c>
      <c r="F7" s="381" t="s">
        <v>205</v>
      </c>
      <c r="G7">
        <f>((G15*G33)+(G16*G34))/(G15+G16)</f>
        <v>8</v>
      </c>
      <c r="H7" t="s">
        <v>206</v>
      </c>
      <c r="I7" s="381" t="s">
        <v>331</v>
      </c>
      <c r="J7">
        <f>0.1852+(5.3537/J6)+(-9.6318/(J6)^2)</f>
        <v>0.18583720873299323</v>
      </c>
      <c r="K7" s="371" t="s">
        <v>75</v>
      </c>
    </row>
    <row r="8" spans="1:11" x14ac:dyDescent="0.2">
      <c r="C8" s="377" t="s">
        <v>327</v>
      </c>
      <c r="D8">
        <f>D10*EXP((((LN(D9))-D11)^2)/D12)</f>
        <v>93.773582452087695</v>
      </c>
      <c r="F8" s="381" t="s">
        <v>330</v>
      </c>
      <c r="G8">
        <f>(G15+G16)*G12*G18*G19</f>
        <v>1066.8565089676306</v>
      </c>
      <c r="H8" t="s">
        <v>203</v>
      </c>
      <c r="I8" s="381" t="s">
        <v>211</v>
      </c>
      <c r="J8" s="1">
        <f>(J9+J10+J11+J12+J13)/(J14*J5)</f>
        <v>7.2994693017488549E-7</v>
      </c>
      <c r="K8" s="371"/>
    </row>
    <row r="9" spans="1:11" x14ac:dyDescent="0.2">
      <c r="C9" s="375" t="s">
        <v>195</v>
      </c>
      <c r="D9">
        <v>0.5</v>
      </c>
      <c r="E9" t="s">
        <v>190</v>
      </c>
      <c r="F9" s="381" t="s">
        <v>331</v>
      </c>
      <c r="G9" s="373">
        <f>0.1852+(5.3537/G10)+(-9.6318/(G10)^2)</f>
        <v>0.18583720873299323</v>
      </c>
      <c r="H9" t="s">
        <v>75</v>
      </c>
      <c r="I9" s="381" t="s">
        <v>347</v>
      </c>
      <c r="J9">
        <f>0.036*(1-J21)*((J18/J19)^3)*J20*J39*J14*8760</f>
        <v>88039.135458504272</v>
      </c>
      <c r="K9" s="371" t="s">
        <v>213</v>
      </c>
    </row>
    <row r="10" spans="1:11" x14ac:dyDescent="0.2">
      <c r="C10" s="379" t="s">
        <v>198</v>
      </c>
      <c r="D10" s="380">
        <v>16.2302</v>
      </c>
      <c r="F10" s="381" t="s">
        <v>332</v>
      </c>
      <c r="G10">
        <f>G20*G18*G28*G29</f>
        <v>8400</v>
      </c>
      <c r="H10" t="s">
        <v>339</v>
      </c>
      <c r="I10" s="381" t="s">
        <v>214</v>
      </c>
      <c r="J10">
        <f>(0.35*0.0016*((J18/2.2)^1.3)/((J26/2)^1.4))*J22*J23*J24*J25*1000</f>
        <v>1658.1505859098856</v>
      </c>
      <c r="K10" s="371" t="s">
        <v>213</v>
      </c>
    </row>
    <row r="11" spans="1:11" x14ac:dyDescent="0.2">
      <c r="C11" s="379" t="s">
        <v>200</v>
      </c>
      <c r="D11" s="380">
        <v>18.776199999999999</v>
      </c>
      <c r="F11" s="381" t="s">
        <v>333</v>
      </c>
      <c r="G11">
        <f>SQRT(G17*43560.17)</f>
        <v>466.69138625005706</v>
      </c>
      <c r="H11" t="s">
        <v>187</v>
      </c>
      <c r="I11" s="381" t="s">
        <v>212</v>
      </c>
      <c r="J11">
        <f>0.75*((0.45*(J27^1.5))/(J28^1.4))*(J15/J29)*1000</f>
        <v>739.26351214461999</v>
      </c>
      <c r="K11" s="371" t="s">
        <v>213</v>
      </c>
    </row>
    <row r="12" spans="1:11" x14ac:dyDescent="0.2">
      <c r="C12" s="379" t="s">
        <v>202</v>
      </c>
      <c r="D12" s="380">
        <v>216.108</v>
      </c>
      <c r="F12" s="381" t="s">
        <v>208</v>
      </c>
      <c r="G12">
        <f>G11*0.0003048</f>
        <v>0.14224753452901739</v>
      </c>
      <c r="H12" t="s">
        <v>209</v>
      </c>
      <c r="I12" s="381" t="s">
        <v>216</v>
      </c>
      <c r="J12">
        <f>0.6*0.0056*(J30^2)*J16*1000</f>
        <v>10863.846413114754</v>
      </c>
      <c r="K12" s="371" t="s">
        <v>213</v>
      </c>
    </row>
    <row r="13" spans="1:11" x14ac:dyDescent="0.2">
      <c r="C13" s="372"/>
      <c r="D13">
        <v>3600</v>
      </c>
      <c r="E13" t="s">
        <v>326</v>
      </c>
      <c r="F13" s="381" t="s">
        <v>342</v>
      </c>
      <c r="G13">
        <f>'Am-241 Default'!AF8</f>
        <v>250</v>
      </c>
      <c r="H13" t="s">
        <v>52</v>
      </c>
      <c r="I13" s="381" t="s">
        <v>215</v>
      </c>
      <c r="J13">
        <f>1.1*(J31^0.6)*J32*4047*(1/10000)*1000*J33</f>
        <v>5043.3532488378178</v>
      </c>
      <c r="K13" s="371" t="s">
        <v>213</v>
      </c>
    </row>
    <row r="14" spans="1:11" ht="13.5" thickBot="1" x14ac:dyDescent="0.25">
      <c r="C14" s="351"/>
      <c r="D14" s="353">
        <v>3.5999999999999997E-2</v>
      </c>
      <c r="E14" s="353"/>
      <c r="F14" s="372" t="s">
        <v>334</v>
      </c>
      <c r="G14">
        <v>20</v>
      </c>
      <c r="H14" t="s">
        <v>187</v>
      </c>
      <c r="I14" s="381" t="s">
        <v>201</v>
      </c>
      <c r="J14">
        <f>J38*4046.86</f>
        <v>20234.3</v>
      </c>
      <c r="K14" s="371" t="s">
        <v>329</v>
      </c>
    </row>
    <row r="15" spans="1:11" ht="13.5" thickTop="1" x14ac:dyDescent="0.2">
      <c r="F15" s="372" t="s">
        <v>336</v>
      </c>
      <c r="G15">
        <v>20</v>
      </c>
      <c r="I15" s="381" t="s">
        <v>355</v>
      </c>
      <c r="J15">
        <f>J35*J23*(1/J36)*(1/1000)*J37</f>
        <v>24.879098360655735</v>
      </c>
      <c r="K15" s="371" t="s">
        <v>203</v>
      </c>
    </row>
    <row r="16" spans="1:11" x14ac:dyDescent="0.2">
      <c r="D16" s="5"/>
      <c r="F16" s="372" t="s">
        <v>337</v>
      </c>
      <c r="G16">
        <v>10</v>
      </c>
      <c r="I16" s="381" t="s">
        <v>360</v>
      </c>
      <c r="J16">
        <f>J34*J23*(1/J36)*(1/1000)*J37</f>
        <v>24.879098360655735</v>
      </c>
      <c r="K16" s="371" t="s">
        <v>203</v>
      </c>
    </row>
    <row r="17" spans="4:14" x14ac:dyDescent="0.2">
      <c r="F17" s="372" t="s">
        <v>195</v>
      </c>
      <c r="G17">
        <v>5</v>
      </c>
      <c r="H17" t="s">
        <v>190</v>
      </c>
      <c r="I17" s="381" t="s">
        <v>342</v>
      </c>
      <c r="J17">
        <f>'Am-241 Default'!AG8</f>
        <v>250</v>
      </c>
      <c r="K17" s="371" t="s">
        <v>52</v>
      </c>
    </row>
    <row r="18" spans="4:14" x14ac:dyDescent="0.2">
      <c r="F18" s="372" t="s">
        <v>340</v>
      </c>
      <c r="G18">
        <f>'Am-241 Default'!AF13</f>
        <v>50</v>
      </c>
      <c r="H18" t="s">
        <v>194</v>
      </c>
      <c r="I18" s="375" t="s">
        <v>218</v>
      </c>
      <c r="J18">
        <v>4.6900000000000004</v>
      </c>
      <c r="K18" s="371" t="s">
        <v>219</v>
      </c>
    </row>
    <row r="19" spans="4:14" x14ac:dyDescent="0.2">
      <c r="F19" s="372" t="s">
        <v>341</v>
      </c>
      <c r="G19">
        <f>'Am-241 Default'!AF12</f>
        <v>5</v>
      </c>
      <c r="H19" t="s">
        <v>193</v>
      </c>
      <c r="I19" s="375" t="s">
        <v>220</v>
      </c>
      <c r="J19">
        <v>11.32</v>
      </c>
      <c r="K19" s="371" t="s">
        <v>219</v>
      </c>
    </row>
    <row r="20" spans="4:14" x14ac:dyDescent="0.2">
      <c r="D20" s="1"/>
      <c r="F20" s="372" t="s">
        <v>298</v>
      </c>
      <c r="G20">
        <f>'Am-241 Default'!AF15</f>
        <v>1</v>
      </c>
      <c r="H20" t="s">
        <v>253</v>
      </c>
      <c r="I20" s="375" t="s">
        <v>217</v>
      </c>
      <c r="J20">
        <v>0.19400000000000001</v>
      </c>
      <c r="K20" s="371" t="s">
        <v>75</v>
      </c>
    </row>
    <row r="21" spans="4:14" x14ac:dyDescent="0.2">
      <c r="F21" s="372" t="s">
        <v>346</v>
      </c>
      <c r="G21">
        <v>0.2</v>
      </c>
      <c r="H21" t="s">
        <v>354</v>
      </c>
      <c r="I21" s="375" t="s">
        <v>210</v>
      </c>
      <c r="J21">
        <v>0</v>
      </c>
      <c r="K21" s="371"/>
    </row>
    <row r="22" spans="4:14" x14ac:dyDescent="0.2">
      <c r="F22" s="372" t="s">
        <v>196</v>
      </c>
      <c r="G22">
        <v>70</v>
      </c>
      <c r="H22" t="s">
        <v>52</v>
      </c>
      <c r="I22" s="375" t="s">
        <v>348</v>
      </c>
      <c r="J22">
        <v>1.68</v>
      </c>
      <c r="K22" s="371" t="s">
        <v>349</v>
      </c>
    </row>
    <row r="23" spans="4:14" x14ac:dyDescent="0.2">
      <c r="F23" s="372" t="s">
        <v>197</v>
      </c>
      <c r="G23">
        <v>8.5</v>
      </c>
      <c r="H23" t="s">
        <v>354</v>
      </c>
      <c r="I23" s="375" t="s">
        <v>350</v>
      </c>
      <c r="J23">
        <v>4047</v>
      </c>
      <c r="K23" s="371" t="s">
        <v>329</v>
      </c>
    </row>
    <row r="24" spans="4:14" x14ac:dyDescent="0.2">
      <c r="F24" s="379" t="s">
        <v>198</v>
      </c>
      <c r="G24" s="380">
        <v>12.9351</v>
      </c>
      <c r="I24" s="375" t="s">
        <v>351</v>
      </c>
      <c r="J24">
        <v>1</v>
      </c>
      <c r="K24" s="371" t="s">
        <v>176</v>
      </c>
    </row>
    <row r="25" spans="4:14" x14ac:dyDescent="0.2">
      <c r="F25" s="379" t="s">
        <v>200</v>
      </c>
      <c r="G25" s="380">
        <v>5.7382999999999997</v>
      </c>
      <c r="I25" s="375" t="s">
        <v>352</v>
      </c>
      <c r="J25">
        <v>2</v>
      </c>
      <c r="K25" s="371"/>
    </row>
    <row r="26" spans="4:14" x14ac:dyDescent="0.2">
      <c r="F26" s="379" t="s">
        <v>202</v>
      </c>
      <c r="G26" s="380">
        <v>71.771100000000004</v>
      </c>
      <c r="I26" s="375" t="s">
        <v>353</v>
      </c>
      <c r="J26">
        <v>12</v>
      </c>
      <c r="K26" s="371" t="s">
        <v>354</v>
      </c>
    </row>
    <row r="27" spans="4:14" x14ac:dyDescent="0.2">
      <c r="F27" s="372" t="s">
        <v>116</v>
      </c>
      <c r="G27">
        <f>'Am-241 Default'!AF14</f>
        <v>8</v>
      </c>
      <c r="H27" t="s">
        <v>237</v>
      </c>
      <c r="I27" s="375" t="s">
        <v>204</v>
      </c>
      <c r="J27">
        <v>6.9</v>
      </c>
      <c r="K27" s="371" t="s">
        <v>354</v>
      </c>
    </row>
    <row r="28" spans="4:14" x14ac:dyDescent="0.2">
      <c r="F28" s="372"/>
      <c r="G28">
        <v>7</v>
      </c>
      <c r="H28" t="s">
        <v>193</v>
      </c>
      <c r="I28" s="375" t="s">
        <v>356</v>
      </c>
      <c r="J28">
        <v>7.9</v>
      </c>
      <c r="K28" s="371" t="s">
        <v>354</v>
      </c>
    </row>
    <row r="29" spans="4:14" x14ac:dyDescent="0.2">
      <c r="F29" s="372"/>
      <c r="G29">
        <v>24</v>
      </c>
      <c r="H29" t="s">
        <v>345</v>
      </c>
      <c r="I29" s="375" t="s">
        <v>357</v>
      </c>
      <c r="J29">
        <v>11.4</v>
      </c>
      <c r="K29" s="371" t="s">
        <v>358</v>
      </c>
    </row>
    <row r="30" spans="4:14" x14ac:dyDescent="0.2">
      <c r="F30" s="372"/>
      <c r="G30">
        <v>9.2902999999999999E-2</v>
      </c>
      <c r="H30" t="s">
        <v>335</v>
      </c>
      <c r="I30" s="375" t="s">
        <v>359</v>
      </c>
      <c r="J30">
        <v>11.4</v>
      </c>
      <c r="K30" s="371" t="s">
        <v>358</v>
      </c>
      <c r="N30" s="1"/>
    </row>
    <row r="31" spans="4:14" x14ac:dyDescent="0.2">
      <c r="F31" s="372"/>
      <c r="G31">
        <v>365</v>
      </c>
      <c r="H31" t="s">
        <v>52</v>
      </c>
      <c r="I31" s="375" t="s">
        <v>207</v>
      </c>
      <c r="J31">
        <v>18</v>
      </c>
      <c r="K31" s="371" t="s">
        <v>354</v>
      </c>
    </row>
    <row r="32" spans="4:14" x14ac:dyDescent="0.2">
      <c r="F32" s="372"/>
      <c r="G32">
        <v>3600</v>
      </c>
      <c r="H32" t="s">
        <v>344</v>
      </c>
      <c r="I32" s="375" t="s">
        <v>361</v>
      </c>
      <c r="J32">
        <v>1</v>
      </c>
      <c r="K32" s="371" t="s">
        <v>190</v>
      </c>
    </row>
    <row r="33" spans="6:11" x14ac:dyDescent="0.2">
      <c r="F33" s="372"/>
      <c r="G33">
        <v>2</v>
      </c>
      <c r="H33" t="s">
        <v>191</v>
      </c>
      <c r="I33" s="375" t="s">
        <v>362</v>
      </c>
      <c r="J33">
        <v>2</v>
      </c>
      <c r="K33" s="371"/>
    </row>
    <row r="34" spans="6:11" ht="13.5" thickBot="1" x14ac:dyDescent="0.25">
      <c r="F34" s="351"/>
      <c r="G34" s="353">
        <v>20</v>
      </c>
      <c r="H34" s="353" t="s">
        <v>192</v>
      </c>
      <c r="I34" s="375" t="s">
        <v>363</v>
      </c>
      <c r="J34">
        <v>5</v>
      </c>
      <c r="K34" s="371" t="s">
        <v>190</v>
      </c>
    </row>
    <row r="35" spans="6:11" ht="13.5" thickTop="1" x14ac:dyDescent="0.2">
      <c r="I35" s="375" t="s">
        <v>366</v>
      </c>
      <c r="J35">
        <v>5</v>
      </c>
      <c r="K35" s="371" t="s">
        <v>190</v>
      </c>
    </row>
    <row r="36" spans="6:11" x14ac:dyDescent="0.2">
      <c r="I36" s="375" t="s">
        <v>364</v>
      </c>
      <c r="J36">
        <v>2.44</v>
      </c>
      <c r="K36" s="371" t="s">
        <v>176</v>
      </c>
    </row>
    <row r="37" spans="6:11" x14ac:dyDescent="0.2">
      <c r="I37" s="375" t="s">
        <v>365</v>
      </c>
      <c r="J37">
        <v>3</v>
      </c>
      <c r="K37" s="371"/>
    </row>
    <row r="38" spans="6:11" x14ac:dyDescent="0.2">
      <c r="I38" s="375" t="s">
        <v>199</v>
      </c>
      <c r="J38">
        <v>5</v>
      </c>
      <c r="K38" s="371" t="s">
        <v>190</v>
      </c>
    </row>
    <row r="39" spans="6:11" x14ac:dyDescent="0.2">
      <c r="I39" s="372" t="s">
        <v>298</v>
      </c>
      <c r="J39">
        <f>'Am-241 Default'!AG11</f>
        <v>1</v>
      </c>
      <c r="K39" s="371" t="s">
        <v>253</v>
      </c>
    </row>
    <row r="40" spans="6:11" x14ac:dyDescent="0.2">
      <c r="I40" s="372" t="s">
        <v>343</v>
      </c>
      <c r="J40">
        <f>'Am-241 Default'!AG14</f>
        <v>8</v>
      </c>
      <c r="K40" s="371" t="s">
        <v>237</v>
      </c>
    </row>
    <row r="41" spans="6:11" x14ac:dyDescent="0.2">
      <c r="I41" s="372" t="s">
        <v>340</v>
      </c>
      <c r="J41">
        <f>'Am-241 Default'!AG13</f>
        <v>50</v>
      </c>
      <c r="K41" s="371" t="s">
        <v>194</v>
      </c>
    </row>
    <row r="42" spans="6:11" x14ac:dyDescent="0.2">
      <c r="I42" s="372" t="s">
        <v>341</v>
      </c>
      <c r="J42">
        <f>'Am-241 Default'!AG12</f>
        <v>5</v>
      </c>
      <c r="K42" s="371" t="s">
        <v>193</v>
      </c>
    </row>
    <row r="43" spans="6:11" x14ac:dyDescent="0.2">
      <c r="I43" s="379" t="s">
        <v>198</v>
      </c>
      <c r="J43" s="378">
        <v>2.4538000000000002</v>
      </c>
      <c r="K43" s="371"/>
    </row>
    <row r="44" spans="6:11" x14ac:dyDescent="0.2">
      <c r="I44" s="379" t="s">
        <v>200</v>
      </c>
      <c r="J44" s="378">
        <v>17.565999999999999</v>
      </c>
      <c r="K44" s="371"/>
    </row>
    <row r="45" spans="6:11" x14ac:dyDescent="0.2">
      <c r="I45" s="379" t="s">
        <v>202</v>
      </c>
      <c r="J45" s="378">
        <v>189.04259999999999</v>
      </c>
      <c r="K45" s="371"/>
    </row>
    <row r="46" spans="6:11" x14ac:dyDescent="0.2">
      <c r="I46" s="372"/>
      <c r="J46">
        <v>7</v>
      </c>
      <c r="K46" s="371" t="s">
        <v>193</v>
      </c>
    </row>
    <row r="47" spans="6:11" x14ac:dyDescent="0.2">
      <c r="I47" s="372"/>
      <c r="J47">
        <v>24</v>
      </c>
      <c r="K47" s="371" t="s">
        <v>345</v>
      </c>
    </row>
    <row r="48" spans="6:11" ht="13.5" thickBot="1" x14ac:dyDescent="0.25">
      <c r="I48" s="351"/>
      <c r="J48" s="353">
        <v>3600</v>
      </c>
      <c r="K48" s="352" t="s">
        <v>338</v>
      </c>
    </row>
    <row r="49" ht="13.5" thickTop="1" x14ac:dyDescent="0.2"/>
  </sheetData>
  <mergeCells count="2">
    <mergeCell ref="A4:B4"/>
    <mergeCell ref="A1:B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b3dbd43-4c4b-4544-9f8a-0553f9f5f25e}" enabled="0" method="" siteId="{db3dbd43-4c4b-4544-9f8a-0553f9f5f25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Am-241 Default</vt:lpstr>
      <vt:lpstr>Cs-137+D Default</vt:lpstr>
      <vt:lpstr>Ra-226+D Default</vt:lpstr>
      <vt:lpstr>Rn-222+D Default</vt:lpstr>
      <vt:lpstr>AM-241 SS</vt:lpstr>
      <vt:lpstr>Cs-137+D SS</vt:lpstr>
      <vt:lpstr>Ra-226+D SS</vt:lpstr>
      <vt:lpstr>Rn-222+D SS</vt:lpstr>
      <vt:lpstr>PEF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Dolislager, Fredrick G.</dc:creator>
  <cp:lastModifiedBy>Manning, Karessa</cp:lastModifiedBy>
  <dcterms:created xsi:type="dcterms:W3CDTF">2014-05-12T17:24:56Z</dcterms:created>
  <dcterms:modified xsi:type="dcterms:W3CDTF">2026-09-03T20:11:51Z</dcterms:modified>
</cp:coreProperties>
</file>